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810" windowWidth="19875" windowHeight="7230" activeTab="3"/>
  </bookViews>
  <sheets>
    <sheet name="потери 2016" sheetId="3" r:id="rId1"/>
    <sheet name="потери 2017" sheetId="4" r:id="rId2"/>
    <sheet name="потери 2018" sheetId="5" r:id="rId3"/>
    <sheet name="потери 2019" sheetId="6" r:id="rId4"/>
  </sheets>
  <calcPr calcId="145621"/>
</workbook>
</file>

<file path=xl/calcChain.xml><?xml version="1.0" encoding="utf-8"?>
<calcChain xmlns="http://schemas.openxmlformats.org/spreadsheetml/2006/main">
  <c r="J12" i="6" l="1"/>
  <c r="J13" i="6"/>
  <c r="L16" i="6"/>
  <c r="M16" i="6"/>
  <c r="O16" i="6"/>
  <c r="N16" i="6"/>
  <c r="P16" i="6"/>
  <c r="L38" i="6"/>
  <c r="I31" i="6" l="1"/>
  <c r="D31" i="6"/>
  <c r="N37" i="6" l="1"/>
  <c r="F36" i="6"/>
  <c r="J36" i="6"/>
  <c r="K36" i="6"/>
  <c r="K35" i="6"/>
  <c r="G36" i="6"/>
  <c r="G35" i="6"/>
  <c r="K34" i="6"/>
  <c r="K33" i="6"/>
  <c r="G34" i="6"/>
  <c r="G33" i="6"/>
  <c r="K32" i="6"/>
  <c r="K31" i="6"/>
  <c r="G32" i="6"/>
  <c r="G31" i="6"/>
  <c r="J29" i="6"/>
  <c r="J28" i="6"/>
  <c r="K29" i="6"/>
  <c r="K28" i="6"/>
  <c r="G29" i="6"/>
  <c r="G28" i="6"/>
  <c r="G26" i="6"/>
  <c r="K27" i="6"/>
  <c r="K26" i="6"/>
  <c r="G27" i="6"/>
  <c r="K25" i="6"/>
  <c r="J25" i="6"/>
  <c r="J24" i="6"/>
  <c r="L25" i="6"/>
  <c r="K24" i="6"/>
  <c r="L24" i="6" s="1"/>
  <c r="G25" i="6"/>
  <c r="G24" i="6"/>
  <c r="J22" i="6"/>
  <c r="J21" i="6"/>
  <c r="K22" i="6"/>
  <c r="L22" i="6" s="1"/>
  <c r="K21" i="6"/>
  <c r="L21" i="6" s="1"/>
  <c r="F22" i="6"/>
  <c r="G22" i="6"/>
  <c r="G21" i="6"/>
  <c r="K19" i="6"/>
  <c r="G19" i="6"/>
  <c r="K18" i="6"/>
  <c r="K17" i="6"/>
  <c r="G18" i="6"/>
  <c r="G17" i="6"/>
  <c r="K15" i="6"/>
  <c r="L15" i="6" s="1"/>
  <c r="K14" i="6"/>
  <c r="G15" i="6"/>
  <c r="G14" i="6"/>
  <c r="K13" i="6"/>
  <c r="K12" i="6"/>
  <c r="G13" i="6"/>
  <c r="G12" i="6"/>
  <c r="L36" i="6"/>
  <c r="L35" i="6"/>
  <c r="L34" i="6"/>
  <c r="L33" i="6"/>
  <c r="L32" i="6"/>
  <c r="L31" i="6"/>
  <c r="L29" i="6"/>
  <c r="L28" i="6"/>
  <c r="L27" i="6"/>
  <c r="L26" i="6"/>
  <c r="L20" i="6"/>
  <c r="L19" i="6"/>
  <c r="L18" i="6"/>
  <c r="L17" i="6"/>
  <c r="K11" i="6"/>
  <c r="L14" i="6"/>
  <c r="L13" i="6"/>
  <c r="L12" i="6"/>
  <c r="L11" i="6"/>
  <c r="L10" i="6"/>
  <c r="K10" i="6"/>
  <c r="G11" i="6"/>
  <c r="G10" i="6"/>
  <c r="H36" i="6" l="1"/>
  <c r="H33" i="6"/>
  <c r="H34" i="6"/>
  <c r="H35" i="6"/>
  <c r="P35" i="6" s="1"/>
  <c r="O35" i="6" s="1"/>
  <c r="H32" i="6"/>
  <c r="H31" i="6"/>
  <c r="H29" i="6"/>
  <c r="H26" i="6"/>
  <c r="P26" i="6" s="1"/>
  <c r="O26" i="6" s="1"/>
  <c r="H27" i="6"/>
  <c r="H28" i="6"/>
  <c r="P28" i="6" s="1"/>
  <c r="H25" i="6"/>
  <c r="H24" i="6"/>
  <c r="H22" i="6"/>
  <c r="H19" i="6"/>
  <c r="H23" i="6" s="1"/>
  <c r="H20" i="6"/>
  <c r="H21" i="6"/>
  <c r="P21" i="6" s="1"/>
  <c r="H18" i="6"/>
  <c r="H17" i="6"/>
  <c r="H15" i="6"/>
  <c r="H12" i="6"/>
  <c r="H13" i="6"/>
  <c r="H14" i="6"/>
  <c r="H11" i="6"/>
  <c r="H10" i="6"/>
  <c r="K40" i="6"/>
  <c r="I40" i="6"/>
  <c r="G40" i="6"/>
  <c r="D40" i="6"/>
  <c r="E38" i="6"/>
  <c r="K37" i="6"/>
  <c r="I37" i="6"/>
  <c r="G37" i="6"/>
  <c r="D37" i="6"/>
  <c r="N36" i="6"/>
  <c r="M36" i="6"/>
  <c r="P36" i="6"/>
  <c r="N35" i="6"/>
  <c r="M35" i="6"/>
  <c r="J35" i="6"/>
  <c r="F35" i="6"/>
  <c r="N34" i="6"/>
  <c r="M34" i="6"/>
  <c r="J34" i="6"/>
  <c r="F34" i="6"/>
  <c r="N33" i="6"/>
  <c r="M33" i="6"/>
  <c r="P33" i="6"/>
  <c r="J33" i="6"/>
  <c r="F33" i="6"/>
  <c r="N32" i="6"/>
  <c r="M32" i="6"/>
  <c r="L37" i="6"/>
  <c r="J32" i="6"/>
  <c r="F32" i="6"/>
  <c r="N31" i="6"/>
  <c r="M31" i="6"/>
  <c r="P31" i="6"/>
  <c r="J31" i="6"/>
  <c r="F31" i="6"/>
  <c r="K30" i="6"/>
  <c r="I30" i="6"/>
  <c r="D30" i="6"/>
  <c r="N29" i="6"/>
  <c r="M29" i="6"/>
  <c r="P29" i="6"/>
  <c r="F29" i="6"/>
  <c r="N28" i="6"/>
  <c r="M28" i="6"/>
  <c r="F28" i="6"/>
  <c r="N27" i="6"/>
  <c r="M27" i="6"/>
  <c r="P27" i="6"/>
  <c r="O27" i="6" s="1"/>
  <c r="J27" i="6"/>
  <c r="F27" i="6"/>
  <c r="C27" i="6"/>
  <c r="C34" i="6" s="1"/>
  <c r="N26" i="6"/>
  <c r="M26" i="6"/>
  <c r="J26" i="6"/>
  <c r="F26" i="6"/>
  <c r="N25" i="6"/>
  <c r="M25" i="6"/>
  <c r="F25" i="6"/>
  <c r="M24" i="6"/>
  <c r="L30" i="6"/>
  <c r="K23" i="6"/>
  <c r="I23" i="6"/>
  <c r="G23" i="6"/>
  <c r="E23" i="6"/>
  <c r="D23" i="6"/>
  <c r="N22" i="6"/>
  <c r="M22" i="6"/>
  <c r="P22" i="6"/>
  <c r="C22" i="6"/>
  <c r="C29" i="6" s="1"/>
  <c r="C36" i="6" s="1"/>
  <c r="N21" i="6"/>
  <c r="M21" i="6"/>
  <c r="F21" i="6"/>
  <c r="C21" i="6"/>
  <c r="C28" i="6" s="1"/>
  <c r="C35" i="6" s="1"/>
  <c r="N20" i="6"/>
  <c r="M20" i="6"/>
  <c r="C20" i="6"/>
  <c r="N19" i="6"/>
  <c r="M19" i="6"/>
  <c r="J19" i="6"/>
  <c r="F19" i="6"/>
  <c r="C19" i="6"/>
  <c r="C26" i="6" s="1"/>
  <c r="C33" i="6" s="1"/>
  <c r="N18" i="6"/>
  <c r="M18" i="6"/>
  <c r="P18" i="6"/>
  <c r="J18" i="6"/>
  <c r="F18" i="6"/>
  <c r="C18" i="6"/>
  <c r="C25" i="6" s="1"/>
  <c r="C32" i="6" s="1"/>
  <c r="C40" i="6" s="1"/>
  <c r="N17" i="6"/>
  <c r="M17" i="6"/>
  <c r="L23" i="6"/>
  <c r="J17" i="6"/>
  <c r="F17" i="6"/>
  <c r="C17" i="6"/>
  <c r="C24" i="6" s="1"/>
  <c r="C31" i="6" s="1"/>
  <c r="C39" i="6" s="1"/>
  <c r="K16" i="6"/>
  <c r="I16" i="6"/>
  <c r="G16" i="6"/>
  <c r="E16" i="6"/>
  <c r="N15" i="6"/>
  <c r="M15" i="6"/>
  <c r="P15" i="6"/>
  <c r="O15" i="6" s="1"/>
  <c r="J15" i="6"/>
  <c r="F15" i="6"/>
  <c r="N14" i="6"/>
  <c r="P14" i="6"/>
  <c r="O14" i="6" s="1"/>
  <c r="J14" i="6"/>
  <c r="F14" i="6"/>
  <c r="M14" i="6"/>
  <c r="N13" i="6"/>
  <c r="M13" i="6"/>
  <c r="P13" i="6"/>
  <c r="O13" i="6" s="1"/>
  <c r="F13" i="6"/>
  <c r="M12" i="6"/>
  <c r="P12" i="6"/>
  <c r="N12" i="6"/>
  <c r="F12" i="6"/>
  <c r="N11" i="6"/>
  <c r="M11" i="6"/>
  <c r="L40" i="6"/>
  <c r="J11" i="6"/>
  <c r="H40" i="6"/>
  <c r="F11" i="6"/>
  <c r="N10" i="6"/>
  <c r="K39" i="6"/>
  <c r="J10" i="6"/>
  <c r="I39" i="6"/>
  <c r="G39" i="6"/>
  <c r="F10" i="6"/>
  <c r="D39" i="6"/>
  <c r="O36" i="6" l="1"/>
  <c r="H37" i="6"/>
  <c r="O33" i="6"/>
  <c r="M37" i="6"/>
  <c r="P34" i="6"/>
  <c r="O34" i="6" s="1"/>
  <c r="O29" i="6"/>
  <c r="O28" i="6"/>
  <c r="H30" i="6"/>
  <c r="M30" i="6"/>
  <c r="O21" i="6"/>
  <c r="O22" i="6"/>
  <c r="I38" i="6"/>
  <c r="I42" i="6" s="1"/>
  <c r="P19" i="6"/>
  <c r="O19" i="6" s="1"/>
  <c r="N23" i="6"/>
  <c r="O18" i="6"/>
  <c r="M23" i="6"/>
  <c r="N40" i="6"/>
  <c r="J16" i="6"/>
  <c r="P25" i="6"/>
  <c r="O25" i="6" s="1"/>
  <c r="P20" i="6"/>
  <c r="O20" i="6" s="1"/>
  <c r="H39" i="6"/>
  <c r="O12" i="6"/>
  <c r="O31" i="6"/>
  <c r="P11" i="6"/>
  <c r="P24" i="6"/>
  <c r="M40" i="6"/>
  <c r="P10" i="6"/>
  <c r="G30" i="6"/>
  <c r="G38" i="6" s="1"/>
  <c r="K38" i="6"/>
  <c r="L39" i="6"/>
  <c r="M10" i="6"/>
  <c r="M39" i="6" s="1"/>
  <c r="D16" i="6"/>
  <c r="D38" i="6" s="1"/>
  <c r="D42" i="6" s="1"/>
  <c r="H16" i="6"/>
  <c r="F24" i="6"/>
  <c r="P32" i="6"/>
  <c r="O32" i="6" s="1"/>
  <c r="P17" i="6"/>
  <c r="N24" i="6"/>
  <c r="N30" i="6" s="1"/>
  <c r="P40" i="5"/>
  <c r="P39" i="5"/>
  <c r="L39" i="5"/>
  <c r="M39" i="5"/>
  <c r="N39" i="5"/>
  <c r="O39" i="5"/>
  <c r="L40" i="5"/>
  <c r="M40" i="5"/>
  <c r="N40" i="5"/>
  <c r="O40" i="5"/>
  <c r="K40" i="5"/>
  <c r="K39" i="5"/>
  <c r="I40" i="5"/>
  <c r="I39" i="5"/>
  <c r="H40" i="5"/>
  <c r="H39" i="5"/>
  <c r="G40" i="5"/>
  <c r="G39" i="5"/>
  <c r="D39" i="5"/>
  <c r="D40" i="5"/>
  <c r="C40" i="5"/>
  <c r="C39" i="5"/>
  <c r="L35" i="5"/>
  <c r="N35" i="5"/>
  <c r="J35" i="5"/>
  <c r="M35" i="5"/>
  <c r="H35" i="5"/>
  <c r="P35" i="5" s="1"/>
  <c r="F35" i="5"/>
  <c r="L34" i="5"/>
  <c r="P34" i="5" s="1"/>
  <c r="O34" i="5" s="1"/>
  <c r="J34" i="5"/>
  <c r="H34" i="5"/>
  <c r="N34" i="5"/>
  <c r="F34" i="5"/>
  <c r="M34" i="5"/>
  <c r="J32" i="5"/>
  <c r="L32" i="5"/>
  <c r="H32" i="5"/>
  <c r="N32" i="5"/>
  <c r="F32" i="5"/>
  <c r="M32" i="5"/>
  <c r="P30" i="5"/>
  <c r="L30" i="5"/>
  <c r="M30" i="5"/>
  <c r="N30" i="5"/>
  <c r="O30" i="5"/>
  <c r="K30" i="5"/>
  <c r="I30" i="5"/>
  <c r="H30" i="5"/>
  <c r="G30" i="5"/>
  <c r="D30" i="5"/>
  <c r="N28" i="5"/>
  <c r="M28" i="5"/>
  <c r="L28" i="5"/>
  <c r="H28" i="5"/>
  <c r="F28" i="5"/>
  <c r="N27" i="5"/>
  <c r="M27" i="5"/>
  <c r="J27" i="5"/>
  <c r="L27" i="5"/>
  <c r="F27" i="5"/>
  <c r="H27" i="5"/>
  <c r="F25" i="5"/>
  <c r="G24" i="5"/>
  <c r="L25" i="5"/>
  <c r="P25" i="5" s="1"/>
  <c r="O25" i="5" s="1"/>
  <c r="H25" i="5"/>
  <c r="N25" i="5"/>
  <c r="M25" i="5"/>
  <c r="O32" i="5"/>
  <c r="P32" i="5"/>
  <c r="P28" i="5"/>
  <c r="P27" i="5"/>
  <c r="O27" i="5" s="1"/>
  <c r="P21" i="5"/>
  <c r="O21" i="5" s="1"/>
  <c r="P20" i="5"/>
  <c r="O20" i="5" s="1"/>
  <c r="P18" i="5"/>
  <c r="O18" i="5" s="1"/>
  <c r="L21" i="5"/>
  <c r="N21" i="5"/>
  <c r="M21" i="5"/>
  <c r="F21" i="5"/>
  <c r="H21" i="5"/>
  <c r="L20" i="5"/>
  <c r="J20" i="5"/>
  <c r="H20" i="5"/>
  <c r="N20" i="5"/>
  <c r="F20" i="5"/>
  <c r="M20" i="5"/>
  <c r="L18" i="5"/>
  <c r="J18" i="5"/>
  <c r="H18" i="5"/>
  <c r="N18" i="5"/>
  <c r="F18" i="5"/>
  <c r="M18" i="5"/>
  <c r="C36" i="5"/>
  <c r="C35" i="5"/>
  <c r="C34" i="5"/>
  <c r="C33" i="5"/>
  <c r="C32" i="5"/>
  <c r="C31" i="5"/>
  <c r="C29" i="5"/>
  <c r="C28" i="5"/>
  <c r="C27" i="5"/>
  <c r="C26" i="5"/>
  <c r="C25" i="5"/>
  <c r="C24" i="5"/>
  <c r="C22" i="5"/>
  <c r="C21" i="5"/>
  <c r="C20" i="5"/>
  <c r="C19" i="5"/>
  <c r="C18" i="5"/>
  <c r="C17" i="5"/>
  <c r="O37" i="6" l="1"/>
  <c r="P37" i="6"/>
  <c r="H38" i="6"/>
  <c r="N38" i="6"/>
  <c r="F16" i="6"/>
  <c r="P40" i="6"/>
  <c r="O11" i="6"/>
  <c r="O40" i="6" s="1"/>
  <c r="M38" i="6"/>
  <c r="O10" i="6"/>
  <c r="P39" i="6"/>
  <c r="P23" i="6"/>
  <c r="O17" i="6"/>
  <c r="O23" i="6" s="1"/>
  <c r="N39" i="6"/>
  <c r="O24" i="6"/>
  <c r="O30" i="6" s="1"/>
  <c r="P30" i="6"/>
  <c r="O35" i="5"/>
  <c r="O28" i="5"/>
  <c r="G14" i="5"/>
  <c r="N15" i="5"/>
  <c r="M15" i="5"/>
  <c r="N13" i="5"/>
  <c r="M13" i="5"/>
  <c r="N11" i="5"/>
  <c r="M11" i="5"/>
  <c r="L15" i="5"/>
  <c r="L13" i="5"/>
  <c r="L11" i="5"/>
  <c r="P11" i="5" s="1"/>
  <c r="K14" i="5"/>
  <c r="J14" i="5" s="1"/>
  <c r="K10" i="5"/>
  <c r="J15" i="5"/>
  <c r="J11" i="5"/>
  <c r="I16" i="5"/>
  <c r="I14" i="5"/>
  <c r="I10" i="5"/>
  <c r="H15" i="5"/>
  <c r="P15" i="5" s="1"/>
  <c r="H13" i="5"/>
  <c r="H11" i="5"/>
  <c r="G12" i="5"/>
  <c r="G10" i="5"/>
  <c r="F10" i="5" s="1"/>
  <c r="F15" i="5"/>
  <c r="F13" i="5"/>
  <c r="F11" i="5"/>
  <c r="D14" i="5"/>
  <c r="M14" i="5" s="1"/>
  <c r="D12" i="5"/>
  <c r="M12" i="5" s="1"/>
  <c r="D10" i="5"/>
  <c r="E38" i="5"/>
  <c r="K37" i="5"/>
  <c r="G37" i="5"/>
  <c r="N36" i="5"/>
  <c r="L36" i="5"/>
  <c r="H36" i="5"/>
  <c r="N33" i="5"/>
  <c r="L33" i="5"/>
  <c r="J33" i="5"/>
  <c r="H33" i="5"/>
  <c r="M33" i="5"/>
  <c r="N31" i="5"/>
  <c r="L31" i="5"/>
  <c r="I37" i="5"/>
  <c r="H31" i="5"/>
  <c r="D37" i="5"/>
  <c r="N29" i="5"/>
  <c r="M29" i="5"/>
  <c r="L29" i="5"/>
  <c r="H29" i="5"/>
  <c r="F29" i="5"/>
  <c r="N26" i="5"/>
  <c r="M26" i="5"/>
  <c r="L26" i="5"/>
  <c r="J26" i="5"/>
  <c r="H26" i="5"/>
  <c r="F26" i="5"/>
  <c r="N24" i="5"/>
  <c r="M24" i="5"/>
  <c r="L24" i="5"/>
  <c r="H24" i="5"/>
  <c r="F24" i="5"/>
  <c r="E23" i="5"/>
  <c r="N22" i="5"/>
  <c r="M22" i="5"/>
  <c r="L22" i="5"/>
  <c r="H22" i="5"/>
  <c r="L19" i="5"/>
  <c r="J19" i="5"/>
  <c r="H19" i="5"/>
  <c r="N19" i="5"/>
  <c r="M19" i="5"/>
  <c r="L17" i="5"/>
  <c r="K23" i="5"/>
  <c r="I23" i="5"/>
  <c r="H17" i="5"/>
  <c r="G23" i="5"/>
  <c r="M17" i="5"/>
  <c r="E16" i="5"/>
  <c r="L12" i="5"/>
  <c r="P38" i="6" l="1"/>
  <c r="O39" i="6"/>
  <c r="O38" i="6"/>
  <c r="G38" i="5"/>
  <c r="P13" i="5"/>
  <c r="O13" i="5" s="1"/>
  <c r="G16" i="5"/>
  <c r="H10" i="5"/>
  <c r="L14" i="5"/>
  <c r="D16" i="5"/>
  <c r="L10" i="5"/>
  <c r="P10" i="5" s="1"/>
  <c r="I38" i="5"/>
  <c r="O11" i="5"/>
  <c r="O15" i="5"/>
  <c r="K16" i="5"/>
  <c r="J10" i="5"/>
  <c r="F14" i="5"/>
  <c r="F12" i="5"/>
  <c r="M10" i="5"/>
  <c r="M16" i="5" s="1"/>
  <c r="N12" i="5"/>
  <c r="P33" i="5"/>
  <c r="H14" i="5"/>
  <c r="P31" i="5"/>
  <c r="P36" i="5"/>
  <c r="O36" i="5" s="1"/>
  <c r="N10" i="5"/>
  <c r="N14" i="5"/>
  <c r="H12" i="5"/>
  <c r="P12" i="5" s="1"/>
  <c r="L23" i="5"/>
  <c r="L37" i="5"/>
  <c r="H37" i="5"/>
  <c r="N37" i="5"/>
  <c r="P26" i="5"/>
  <c r="O26" i="5" s="1"/>
  <c r="P24" i="5"/>
  <c r="O24" i="5" s="1"/>
  <c r="H23" i="5"/>
  <c r="P19" i="5"/>
  <c r="O19" i="5" s="1"/>
  <c r="P22" i="5"/>
  <c r="O22" i="5" s="1"/>
  <c r="M23" i="5"/>
  <c r="M36" i="5"/>
  <c r="D23" i="5"/>
  <c r="D38" i="5" s="1"/>
  <c r="P29" i="5"/>
  <c r="O29" i="5" s="1"/>
  <c r="F31" i="5"/>
  <c r="F17" i="5"/>
  <c r="J17" i="5"/>
  <c r="N17" i="5"/>
  <c r="N23" i="5" s="1"/>
  <c r="F19" i="5"/>
  <c r="P17" i="5"/>
  <c r="M31" i="5"/>
  <c r="J31" i="5"/>
  <c r="F33" i="5"/>
  <c r="F16" i="5" l="1"/>
  <c r="L16" i="5"/>
  <c r="L38" i="5" s="1"/>
  <c r="O33" i="5"/>
  <c r="P14" i="5"/>
  <c r="O14" i="5" s="1"/>
  <c r="K38" i="5"/>
  <c r="J16" i="5"/>
  <c r="H16" i="5"/>
  <c r="H38" i="5" s="1"/>
  <c r="N16" i="5"/>
  <c r="N38" i="5" s="1"/>
  <c r="P37" i="5"/>
  <c r="O31" i="5"/>
  <c r="O12" i="5"/>
  <c r="M37" i="5"/>
  <c r="M38" i="5" s="1"/>
  <c r="P23" i="5"/>
  <c r="O17" i="5"/>
  <c r="O23" i="5" s="1"/>
  <c r="O37" i="5" l="1"/>
  <c r="P16" i="5"/>
  <c r="P38" i="5" s="1"/>
  <c r="O10" i="5"/>
  <c r="O16" i="5" s="1"/>
  <c r="O38" i="5" l="1"/>
  <c r="G35" i="4"/>
  <c r="G34" i="4"/>
  <c r="F35" i="4"/>
  <c r="F34" i="4"/>
  <c r="E35" i="4"/>
  <c r="E34" i="4"/>
  <c r="C35" i="4"/>
  <c r="C34" i="4"/>
  <c r="K33" i="4" l="1"/>
  <c r="K31" i="4"/>
  <c r="J33" i="4"/>
  <c r="J31" i="4"/>
  <c r="E33" i="3"/>
  <c r="E32" i="3"/>
  <c r="E31" i="3"/>
  <c r="F32" i="4" l="1"/>
  <c r="C32" i="4"/>
  <c r="J23" i="4"/>
  <c r="K23" i="4" s="1"/>
  <c r="H23" i="4"/>
  <c r="F23" i="4"/>
  <c r="E23" i="4" s="1"/>
  <c r="C23" i="4"/>
  <c r="L23" i="4" s="1"/>
  <c r="J22" i="4"/>
  <c r="H22" i="4"/>
  <c r="F22" i="4"/>
  <c r="G22" i="4" s="1"/>
  <c r="C22" i="4"/>
  <c r="L22" i="4" s="1"/>
  <c r="J21" i="4"/>
  <c r="H21" i="4"/>
  <c r="F21" i="4"/>
  <c r="C21" i="4"/>
  <c r="C24" i="4" s="1"/>
  <c r="J14" i="4"/>
  <c r="K14" i="4" s="1"/>
  <c r="H14" i="4"/>
  <c r="F14" i="4"/>
  <c r="C14" i="4"/>
  <c r="E14" i="4" s="1"/>
  <c r="J13" i="4"/>
  <c r="K13" i="4" s="1"/>
  <c r="H13" i="4"/>
  <c r="F13" i="4"/>
  <c r="F16" i="4" s="1"/>
  <c r="C13" i="4"/>
  <c r="C16" i="4" s="1"/>
  <c r="I18" i="4"/>
  <c r="I15" i="4"/>
  <c r="I11" i="4"/>
  <c r="I9" i="4"/>
  <c r="K22" i="4"/>
  <c r="K18" i="4"/>
  <c r="K19" i="4"/>
  <c r="K21" i="4"/>
  <c r="K17" i="4"/>
  <c r="K15" i="4"/>
  <c r="K10" i="4"/>
  <c r="K11" i="4"/>
  <c r="K9" i="4"/>
  <c r="G23" i="4"/>
  <c r="G21" i="4"/>
  <c r="G18" i="4"/>
  <c r="G19" i="4"/>
  <c r="G14" i="4"/>
  <c r="G15" i="4"/>
  <c r="G17" i="4"/>
  <c r="G10" i="4"/>
  <c r="G11" i="4"/>
  <c r="G12" i="4" s="1"/>
  <c r="G9" i="4"/>
  <c r="E18" i="4"/>
  <c r="E19" i="4"/>
  <c r="E17" i="4"/>
  <c r="E15" i="4"/>
  <c r="J20" i="4"/>
  <c r="H20" i="4"/>
  <c r="F20" i="4"/>
  <c r="C20" i="4"/>
  <c r="E9" i="4"/>
  <c r="N24" i="3"/>
  <c r="N26" i="3"/>
  <c r="M11" i="3"/>
  <c r="M10" i="3"/>
  <c r="M9" i="3"/>
  <c r="G32" i="4"/>
  <c r="H32" i="4" s="1"/>
  <c r="D25" i="4"/>
  <c r="H24" i="4"/>
  <c r="M22" i="4"/>
  <c r="L21" i="4"/>
  <c r="F24" i="4"/>
  <c r="L19" i="4"/>
  <c r="M19" i="4"/>
  <c r="L18" i="4"/>
  <c r="M18" i="4"/>
  <c r="L17" i="4"/>
  <c r="M17" i="4"/>
  <c r="H16" i="4"/>
  <c r="D16" i="4"/>
  <c r="L15" i="4"/>
  <c r="M15" i="4"/>
  <c r="H12" i="4"/>
  <c r="D12" i="4"/>
  <c r="C12" i="4"/>
  <c r="L11" i="4"/>
  <c r="L10" i="4"/>
  <c r="L9" i="4"/>
  <c r="M9" i="4"/>
  <c r="C21" i="3"/>
  <c r="C26" i="3"/>
  <c r="F32" i="3"/>
  <c r="G32" i="3" s="1"/>
  <c r="I26" i="3"/>
  <c r="D26" i="3"/>
  <c r="H25" i="3"/>
  <c r="C25" i="3"/>
  <c r="M24" i="3"/>
  <c r="L24" i="3"/>
  <c r="K24" i="3"/>
  <c r="F24" i="3"/>
  <c r="M23" i="3"/>
  <c r="K23" i="3"/>
  <c r="L23" i="3" s="1"/>
  <c r="F23" i="3"/>
  <c r="G23" i="3" s="1"/>
  <c r="M22" i="3"/>
  <c r="M25" i="3" s="1"/>
  <c r="K22" i="3"/>
  <c r="L22" i="3" s="1"/>
  <c r="L25" i="3" s="1"/>
  <c r="F22" i="3"/>
  <c r="H21" i="3"/>
  <c r="M20" i="3"/>
  <c r="K20" i="3"/>
  <c r="L20" i="3" s="1"/>
  <c r="G20" i="3"/>
  <c r="F20" i="3"/>
  <c r="M19" i="3"/>
  <c r="K19" i="3"/>
  <c r="L19" i="3" s="1"/>
  <c r="F19" i="3"/>
  <c r="G19" i="3" s="1"/>
  <c r="M18" i="3"/>
  <c r="K18" i="3"/>
  <c r="L18" i="3" s="1"/>
  <c r="F18" i="3"/>
  <c r="F21" i="3" s="1"/>
  <c r="M17" i="3"/>
  <c r="K17" i="3"/>
  <c r="L17" i="3" s="1"/>
  <c r="F17" i="3"/>
  <c r="N17" i="3" s="1"/>
  <c r="L16" i="3"/>
  <c r="I16" i="3"/>
  <c r="H16" i="3"/>
  <c r="D16" i="3"/>
  <c r="C16" i="3"/>
  <c r="P15" i="3"/>
  <c r="M15" i="3"/>
  <c r="K15" i="3"/>
  <c r="F15" i="3"/>
  <c r="M14" i="3"/>
  <c r="K14" i="3"/>
  <c r="G14" i="3"/>
  <c r="G16" i="3" s="1"/>
  <c r="F14" i="3"/>
  <c r="P13" i="3"/>
  <c r="M13" i="3"/>
  <c r="F13" i="3"/>
  <c r="I12" i="3"/>
  <c r="H12" i="3"/>
  <c r="H26" i="3" s="1"/>
  <c r="G12" i="3"/>
  <c r="D12" i="3"/>
  <c r="C12" i="3"/>
  <c r="P11" i="3"/>
  <c r="K11" i="3"/>
  <c r="F11" i="3"/>
  <c r="P10" i="3"/>
  <c r="K10" i="3"/>
  <c r="F10" i="3"/>
  <c r="L9" i="3"/>
  <c r="L12" i="3" s="1"/>
  <c r="K9" i="3"/>
  <c r="K12" i="3" s="1"/>
  <c r="I32" i="4" l="1"/>
  <c r="E32" i="4"/>
  <c r="M23" i="4"/>
  <c r="G13" i="4"/>
  <c r="O13" i="4" s="1"/>
  <c r="E21" i="4"/>
  <c r="O10" i="4"/>
  <c r="M14" i="4"/>
  <c r="E13" i="4"/>
  <c r="I13" i="4"/>
  <c r="I14" i="4"/>
  <c r="I21" i="4"/>
  <c r="I22" i="4"/>
  <c r="I23" i="4"/>
  <c r="O15" i="4"/>
  <c r="L24" i="4"/>
  <c r="E22" i="4"/>
  <c r="L20" i="4"/>
  <c r="K20" i="4"/>
  <c r="M20" i="4"/>
  <c r="G20" i="4"/>
  <c r="K16" i="4"/>
  <c r="L14" i="4"/>
  <c r="L13" i="4"/>
  <c r="O11" i="4"/>
  <c r="L12" i="4"/>
  <c r="N15" i="4"/>
  <c r="K12" i="4"/>
  <c r="G16" i="4"/>
  <c r="C25" i="4"/>
  <c r="H25" i="4"/>
  <c r="J24" i="4"/>
  <c r="J16" i="4"/>
  <c r="J12" i="4"/>
  <c r="M13" i="4"/>
  <c r="O9" i="4"/>
  <c r="O14" i="4"/>
  <c r="N14" i="4" s="1"/>
  <c r="O17" i="4"/>
  <c r="O18" i="4"/>
  <c r="N18" i="4" s="1"/>
  <c r="O19" i="4"/>
  <c r="N19" i="4" s="1"/>
  <c r="M21" i="4"/>
  <c r="M24" i="4" s="1"/>
  <c r="O22" i="4"/>
  <c r="N22" i="4" s="1"/>
  <c r="O23" i="4"/>
  <c r="M12" i="3"/>
  <c r="K16" i="3"/>
  <c r="P20" i="3"/>
  <c r="O20" i="3" s="1"/>
  <c r="N22" i="3"/>
  <c r="N11" i="3"/>
  <c r="F12" i="3"/>
  <c r="M16" i="3"/>
  <c r="M26" i="3" s="1"/>
  <c r="N15" i="3"/>
  <c r="O15" i="3" s="1"/>
  <c r="L21" i="3"/>
  <c r="N19" i="3"/>
  <c r="P23" i="3"/>
  <c r="P19" i="3"/>
  <c r="L26" i="3"/>
  <c r="G18" i="3"/>
  <c r="G21" i="3" s="1"/>
  <c r="F16" i="3"/>
  <c r="F26" i="3" s="1"/>
  <c r="N14" i="3"/>
  <c r="P14" i="3"/>
  <c r="N18" i="3"/>
  <c r="N20" i="3"/>
  <c r="M21" i="3"/>
  <c r="K25" i="3"/>
  <c r="C31" i="3"/>
  <c r="C33" i="3" s="1"/>
  <c r="N9" i="3"/>
  <c r="O14" i="3"/>
  <c r="N23" i="3"/>
  <c r="N25" i="3" s="1"/>
  <c r="F25" i="3"/>
  <c r="P9" i="3"/>
  <c r="N10" i="3"/>
  <c r="O10" i="3" s="1"/>
  <c r="N13" i="3"/>
  <c r="N16" i="3" s="1"/>
  <c r="G17" i="3"/>
  <c r="P17" i="3" s="1"/>
  <c r="K21" i="3"/>
  <c r="K26" i="3" s="1"/>
  <c r="G22" i="3"/>
  <c r="G24" i="3"/>
  <c r="P24" i="3" s="1"/>
  <c r="O11" i="3"/>
  <c r="O13" i="3"/>
  <c r="N23" i="4" l="1"/>
  <c r="M16" i="4"/>
  <c r="L16" i="4"/>
  <c r="L25" i="4" s="1"/>
  <c r="C31" i="4"/>
  <c r="N17" i="4"/>
  <c r="N20" i="4" s="1"/>
  <c r="O20" i="4"/>
  <c r="N13" i="4"/>
  <c r="N16" i="4" s="1"/>
  <c r="J25" i="4"/>
  <c r="K24" i="4"/>
  <c r="K25" i="4" s="1"/>
  <c r="O21" i="4"/>
  <c r="O12" i="4"/>
  <c r="N9" i="4"/>
  <c r="G24" i="4"/>
  <c r="O16" i="4"/>
  <c r="N21" i="3"/>
  <c r="O19" i="3"/>
  <c r="P18" i="3"/>
  <c r="O16" i="3"/>
  <c r="P16" i="3"/>
  <c r="O24" i="3"/>
  <c r="G25" i="3"/>
  <c r="G26" i="3" s="1"/>
  <c r="G31" i="3" s="1"/>
  <c r="G33" i="3" s="1"/>
  <c r="P12" i="3"/>
  <c r="O9" i="3"/>
  <c r="O12" i="3" s="1"/>
  <c r="O17" i="3"/>
  <c r="P21" i="3"/>
  <c r="O18" i="3"/>
  <c r="O21" i="3" s="1"/>
  <c r="O23" i="3"/>
  <c r="F31" i="3"/>
  <c r="F33" i="3" s="1"/>
  <c r="N12" i="3"/>
  <c r="P22" i="3"/>
  <c r="C33" i="4" l="1"/>
  <c r="K32" i="4"/>
  <c r="G25" i="4"/>
  <c r="G31" i="4" s="1"/>
  <c r="O24" i="4"/>
  <c r="O25" i="4" s="1"/>
  <c r="N21" i="4"/>
  <c r="N24" i="4" s="1"/>
  <c r="O22" i="3"/>
  <c r="O25" i="3" s="1"/>
  <c r="O26" i="3" s="1"/>
  <c r="P25" i="3"/>
  <c r="P26" i="3" s="1"/>
  <c r="G33" i="4" l="1"/>
  <c r="H33" i="4" s="1"/>
  <c r="H31" i="4"/>
  <c r="E11" i="4" l="1"/>
  <c r="M11" i="4"/>
  <c r="N11" i="4" s="1"/>
  <c r="F12" i="4"/>
  <c r="F25" i="4" s="1"/>
  <c r="F31" i="4" s="1"/>
  <c r="E31" i="4" s="1"/>
  <c r="E10" i="4"/>
  <c r="M10" i="4"/>
  <c r="N10" i="4" s="1"/>
  <c r="F33" i="4" l="1"/>
  <c r="I31" i="4"/>
  <c r="N12" i="4"/>
  <c r="N25" i="4" s="1"/>
  <c r="M12" i="4"/>
  <c r="M25" i="4" s="1"/>
  <c r="I33" i="4" l="1"/>
  <c r="E33" i="4"/>
  <c r="J32" i="4"/>
</calcChain>
</file>

<file path=xl/sharedStrings.xml><?xml version="1.0" encoding="utf-8"?>
<sst xmlns="http://schemas.openxmlformats.org/spreadsheetml/2006/main" count="293" uniqueCount="147">
  <si>
    <t>Месяц</t>
  </si>
  <si>
    <t>май</t>
  </si>
  <si>
    <t>июль</t>
  </si>
  <si>
    <t>август</t>
  </si>
  <si>
    <t>-</t>
  </si>
  <si>
    <t xml:space="preserve">Затраты МУП "Кировская горэлектросеть" </t>
  </si>
  <si>
    <t xml:space="preserve">на покупку электроэнергии для компенсации фактических потерь, возникающих в электрических сетях, </t>
  </si>
  <si>
    <t>за период 2016 год</t>
  </si>
  <si>
    <t xml:space="preserve">№ сч/ф, акта,  дата </t>
  </si>
  <si>
    <t xml:space="preserve">Компенсация фактических объемов потерь электроэнергии, учтенных в сводном прогнозном балансе на 2016 г. по факт.свободной (нерегулируемой) цене </t>
  </si>
  <si>
    <t>стоимость без НДС, руб.</t>
  </si>
  <si>
    <t>НДС, руб.</t>
  </si>
  <si>
    <t>Итого, руб.</t>
  </si>
  <si>
    <t>Потери, учтенные в сводном прогнозном балансе</t>
  </si>
  <si>
    <t>в т.ч. бездоговорное потребление (коммерческие потери)</t>
  </si>
  <si>
    <t>Цена за ед., руб.</t>
  </si>
  <si>
    <t>стоимость без НДС</t>
  </si>
  <si>
    <t>стоимость с НДС</t>
  </si>
  <si>
    <t>Потери,не учтенные в сводном прогнозном балансе</t>
  </si>
  <si>
    <t>объем (V) кВт.ч</t>
  </si>
  <si>
    <t>Договор №7 от 02.02.2015 с АО "АтомЭнергоСбыт"</t>
  </si>
  <si>
    <t>янв</t>
  </si>
  <si>
    <t>7-010391 от 31.01.2016</t>
  </si>
  <si>
    <t>фев</t>
  </si>
  <si>
    <t>7-020787 от 29.02.2016</t>
  </si>
  <si>
    <t>мар</t>
  </si>
  <si>
    <t>7-031861 от 31.03.2016</t>
  </si>
  <si>
    <t>апр</t>
  </si>
  <si>
    <t>7-042402 от 30.04.2016</t>
  </si>
  <si>
    <t>7-052844 от 31.05.2016</t>
  </si>
  <si>
    <t>июн</t>
  </si>
  <si>
    <t>7-063641 от 30.06.2016</t>
  </si>
  <si>
    <t>7-074713 от 31.07.2016</t>
  </si>
  <si>
    <t>7-085710К от 31.08.2016</t>
  </si>
  <si>
    <t>7-085711 от 31.08.2016</t>
  </si>
  <si>
    <t>сен</t>
  </si>
  <si>
    <t>7-096844 от 30.09.2016</t>
  </si>
  <si>
    <t>окт</t>
  </si>
  <si>
    <t>7-108209 от 31.10.2016</t>
  </si>
  <si>
    <t>ноя</t>
  </si>
  <si>
    <t>7-119790 от 30.11.2016</t>
  </si>
  <si>
    <t>дек</t>
  </si>
  <si>
    <t>7-130796 от 31.12.2016</t>
  </si>
  <si>
    <t>Итого:</t>
  </si>
  <si>
    <t>потери</t>
  </si>
  <si>
    <t>1 квартал 2016</t>
  </si>
  <si>
    <t>2 квартал 2016</t>
  </si>
  <si>
    <t>3 квартал 2016</t>
  </si>
  <si>
    <t>4 квартал 2016</t>
  </si>
  <si>
    <t>Корректировка июльского акта разногласий</t>
  </si>
  <si>
    <t>бездоговорное потребление</t>
  </si>
  <si>
    <t>стоимость, руб. без  НДС</t>
  </si>
  <si>
    <t>стоимость, руб. с  НДС</t>
  </si>
  <si>
    <t>Наименование показателя</t>
  </si>
  <si>
    <t>за период 2017 год</t>
  </si>
  <si>
    <t>ИТОГО</t>
  </si>
  <si>
    <t xml:space="preserve">Компенсация величины превышения фактических объемов потерь электроэнергии над объемами потерь, учтенных в сводном прогнозном балансе на 2016 г. по факт.свободной (нерегулируемой) цене </t>
  </si>
  <si>
    <t>1 квартал 2017</t>
  </si>
  <si>
    <t>2 квартал 2017</t>
  </si>
  <si>
    <t>3 квартал 2017</t>
  </si>
  <si>
    <t>4 квартал 2017</t>
  </si>
  <si>
    <t>5160100007/1/000004 от 31.01.2017</t>
  </si>
  <si>
    <t>5160100007/1/000010 от 28.02.2017</t>
  </si>
  <si>
    <t>5160100007/1/000026 от 31.03.2017</t>
  </si>
  <si>
    <t>5160100007/1/000105 от 30.04.2017</t>
  </si>
  <si>
    <t>5160100007/1/000159 от 31.05.2017</t>
  </si>
  <si>
    <t>5160100007/1/100656 от 30.06.2017</t>
  </si>
  <si>
    <t>5160100007/1/100668 от 31.07.2017</t>
  </si>
  <si>
    <t>5160100007/1/100684 от 31.08.2017</t>
  </si>
  <si>
    <t>5160100007/1/100697 от 30.09.2017</t>
  </si>
  <si>
    <t>5160100007/1/100722 от 31.10.2017</t>
  </si>
  <si>
    <t>5160100007/1/100725 от 30.11.2017</t>
  </si>
  <si>
    <t>5160100007/1/100758 от 31.12.2017</t>
  </si>
  <si>
    <t>факторный анализ</t>
  </si>
  <si>
    <t>прирост/снижение за счет тарифа</t>
  </si>
  <si>
    <t>прирост/снижение за счет объема</t>
  </si>
  <si>
    <t>прирост/снижение по сравнению с 2016 г., %</t>
  </si>
  <si>
    <r>
      <t xml:space="preserve">прирост/снижение по сравнению с 2016 г., руб. без НДС, </t>
    </r>
    <r>
      <rPr>
        <u/>
        <sz val="10"/>
        <rFont val="Times New Roman"/>
        <family val="1"/>
        <charset val="204"/>
      </rPr>
      <t>в т.ч.</t>
    </r>
  </si>
  <si>
    <t>Тариф, руб./кВт*ч</t>
  </si>
  <si>
    <t>объем (V) кВт*ч</t>
  </si>
  <si>
    <t>Итого 2017 год, в т.ч.:</t>
  </si>
  <si>
    <t>Итого 2016 год, в т.ч.:</t>
  </si>
  <si>
    <t>потери, в т.ч.</t>
  </si>
  <si>
    <t>учтенные в СПБ</t>
  </si>
  <si>
    <t>не учтенные в СПБ</t>
  </si>
  <si>
    <t>1 квартал 2018</t>
  </si>
  <si>
    <t>2 квартал 2018</t>
  </si>
  <si>
    <t>3 квартал 2018</t>
  </si>
  <si>
    <t>4 квартал 2018</t>
  </si>
  <si>
    <t xml:space="preserve">Компенсация фактических объемов потерь электроэнергии, учтенных в сводном прогнозном балансе на 2017 г. по факт.свободной (нерегулируемой) цене </t>
  </si>
  <si>
    <t xml:space="preserve">Компенсация величины превышения фактических объемов потерь электроэнергии над объемами потерь, учтенных в сводном прогнозном балансе на 2017 г. по факт.свободной (нерегулируемой) цене </t>
  </si>
  <si>
    <t xml:space="preserve">Компенсация фактических объемов потерь электроэнергии, учтенных в сводном прогнозном балансе на 2018 г. по факт.свободной (нерегулируемой) цене </t>
  </si>
  <si>
    <t xml:space="preserve">Компенсация величины превышения фактических объемов потерь электроэнергии над объемами потерь, учтенных в сводном прогнозном балансе на 2018 г. по факт.свободной (нерегулируемой) цене </t>
  </si>
  <si>
    <t>за период 2018 год</t>
  </si>
  <si>
    <t>Договор №5160100007 от 13.02.2018 с АО "АтомЭнергоСбыт"</t>
  </si>
  <si>
    <t>5160100007/1/000007 от 31.01.2018</t>
  </si>
  <si>
    <t>5160100007/1/000019 от 28.02.2018</t>
  </si>
  <si>
    <t>5160100007/1/000031 от 31.03.2018</t>
  </si>
  <si>
    <t>январь</t>
  </si>
  <si>
    <t>февраль</t>
  </si>
  <si>
    <t>март</t>
  </si>
  <si>
    <t>Наименование составляющей</t>
  </si>
  <si>
    <t>Потери</t>
  </si>
  <si>
    <t>апрель</t>
  </si>
  <si>
    <t>июнь</t>
  </si>
  <si>
    <t>сентябрь</t>
  </si>
  <si>
    <t>октябрь</t>
  </si>
  <si>
    <t>ноябрь</t>
  </si>
  <si>
    <t>декабрь</t>
  </si>
  <si>
    <t>счет 20</t>
  </si>
  <si>
    <t>счет 91.2</t>
  </si>
  <si>
    <t>5160100007/1/000048 от 30.04.2018</t>
  </si>
  <si>
    <t>5160100007/1/000059 от 31.05.2018</t>
  </si>
  <si>
    <t>5160100007/1/000071 от 30.06.2018</t>
  </si>
  <si>
    <t>5160100007/1/000086 от 31.07.2018</t>
  </si>
  <si>
    <t>5160100007/1/000101 от 31.08.2018</t>
  </si>
  <si>
    <t>5160100007/1/000111 от 30.09.2018</t>
  </si>
  <si>
    <t>5160100007/1/000118 от 31.10.2018</t>
  </si>
  <si>
    <t>5160100007/1/000131 от 30.11.2018</t>
  </si>
  <si>
    <t>5160100007/1/000150 от 31.12.2018</t>
  </si>
  <si>
    <t>Ведущий экономист</t>
  </si>
  <si>
    <t>МУП "Кировская горэлектросеть"</t>
  </si>
  <si>
    <t>Ларионова Е. А.</t>
  </si>
  <si>
    <t>Начальник ПЭО</t>
  </si>
  <si>
    <t>за период 2019 год</t>
  </si>
  <si>
    <t>1 квартал 2019</t>
  </si>
  <si>
    <t>2 квартал 2019</t>
  </si>
  <si>
    <t>3 квартал 2019</t>
  </si>
  <si>
    <t>4 квартал 2019</t>
  </si>
  <si>
    <t>Договор №5160100007 от 09.01.2019 с АО "АтомЭнергоСбыт"</t>
  </si>
  <si>
    <t xml:space="preserve">Компенсация фактических объемов потерь электроэнергии, учтенных в сводном прогнозном балансе на 2019 г. по факт.свободной (нерегулируемой) цене </t>
  </si>
  <si>
    <t xml:space="preserve">Компенсация величины превышения фактических объемов потерь электроэнергии над объемами потерь, учтенных в сводном прогнозном балансе на 2019 г. по факт.свободной (нерегулируемой) цене </t>
  </si>
  <si>
    <t>5160100007/1/000005 от 31.01.2019</t>
  </si>
  <si>
    <t>5160100007/1/1000038 от 28.02.2019</t>
  </si>
  <si>
    <t>5160100007/1/000060 от 31.03.2019</t>
  </si>
  <si>
    <t>5160100007/1/000072 от 30.04.2019</t>
  </si>
  <si>
    <t>5160100007/1/000088 от 31.05.2019</t>
  </si>
  <si>
    <t>5160100007/1/000113 от 30.06.2019</t>
  </si>
  <si>
    <t>5160100007/1/000127 от 31.07.2019</t>
  </si>
  <si>
    <t>5160100007/1/000142 от 31.08.2019</t>
  </si>
  <si>
    <t>5160100007/1/000161 от 30.09.2019</t>
  </si>
  <si>
    <t>5160100007/1/000226 от 31.10.2019</t>
  </si>
  <si>
    <t>5160100007/1/000243 от 30.11.2019</t>
  </si>
  <si>
    <t>5160100007/1/000259 от 31.12.2019</t>
  </si>
  <si>
    <t>Справочно:</t>
  </si>
  <si>
    <t>тариф покупки потерь в рамках СПБ</t>
  </si>
  <si>
    <t>тариф покупки потерь сверх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</si>
</sst>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"/>
    <numFmt numFmtId="165" formatCode="#,##0.00000"/>
    <numFmt numFmtId="166" formatCode="0.00000"/>
    <numFmt numFmtId="167" formatCode="#,##0.000"/>
    <numFmt numFmtId="168" formatCode="0.0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u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FDC"/>
        <bgColor indexed="64"/>
      </patternFill>
    </fill>
    <fill>
      <patternFill patternType="solid">
        <fgColor rgb="FFFFFFBD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0"/>
  </cellStyleXfs>
  <cellXfs count="294">
    <xf numFmtId="0" fontId="0" fillId="0" borderId="0" xfId="0"/>
    <xf numFmtId="0" fontId="3" fillId="2" borderId="0" xfId="4" applyFont="1" applyFill="1"/>
    <xf numFmtId="0" fontId="3" fillId="2" borderId="1" xfId="4" applyFont="1" applyFill="1" applyBorder="1" applyAlignment="1">
      <alignment horizontal="center" vertical="center" wrapText="1"/>
    </xf>
    <xf numFmtId="0" fontId="3" fillId="0" borderId="0" xfId="4" applyFont="1"/>
    <xf numFmtId="0" fontId="3" fillId="2" borderId="6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/>
    </xf>
    <xf numFmtId="3" fontId="3" fillId="2" borderId="4" xfId="4" applyNumberFormat="1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4" fontId="3" fillId="2" borderId="4" xfId="4" applyNumberFormat="1" applyFont="1" applyFill="1" applyBorder="1" applyAlignment="1">
      <alignment horizontal="center" vertical="center"/>
    </xf>
    <xf numFmtId="3" fontId="3" fillId="2" borderId="6" xfId="4" applyNumberFormat="1" applyFont="1" applyFill="1" applyBorder="1" applyAlignment="1">
      <alignment horizontal="center" vertical="center" wrapText="1"/>
    </xf>
    <xf numFmtId="4" fontId="3" fillId="2" borderId="6" xfId="4" applyNumberFormat="1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164" fontId="8" fillId="2" borderId="5" xfId="4" applyNumberFormat="1" applyFont="1" applyFill="1" applyBorder="1" applyAlignment="1">
      <alignment horizontal="center" vertical="center"/>
    </xf>
    <xf numFmtId="0" fontId="10" fillId="2" borderId="6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center"/>
    </xf>
    <xf numFmtId="3" fontId="13" fillId="2" borderId="4" xfId="4" applyNumberFormat="1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/>
    </xf>
    <xf numFmtId="164" fontId="13" fillId="2" borderId="5" xfId="4" applyNumberFormat="1" applyFont="1" applyFill="1" applyBorder="1" applyAlignment="1">
      <alignment horizontal="center" vertical="center"/>
    </xf>
    <xf numFmtId="0" fontId="2" fillId="0" borderId="0" xfId="4" applyFont="1"/>
    <xf numFmtId="0" fontId="3" fillId="0" borderId="0" xfId="4" applyFont="1" applyAlignment="1">
      <alignment horizontal="center"/>
    </xf>
    <xf numFmtId="4" fontId="3" fillId="0" borderId="4" xfId="4" applyNumberFormat="1" applyFont="1" applyFill="1" applyBorder="1" applyAlignment="1">
      <alignment horizontal="center" vertical="center"/>
    </xf>
    <xf numFmtId="4" fontId="3" fillId="0" borderId="6" xfId="4" applyNumberFormat="1" applyFont="1" applyFill="1" applyBorder="1" applyAlignment="1">
      <alignment horizontal="center" vertical="center"/>
    </xf>
    <xf numFmtId="4" fontId="13" fillId="0" borderId="6" xfId="4" applyNumberFormat="1" applyFont="1" applyFill="1" applyBorder="1" applyAlignment="1">
      <alignment horizontal="center" vertical="center"/>
    </xf>
    <xf numFmtId="4" fontId="3" fillId="0" borderId="0" xfId="4" applyNumberFormat="1" applyFont="1" applyFill="1" applyBorder="1" applyAlignment="1">
      <alignment horizontal="center" vertical="center"/>
    </xf>
    <xf numFmtId="2" fontId="3" fillId="0" borderId="0" xfId="4" applyNumberFormat="1" applyFont="1" applyFill="1" applyBorder="1" applyAlignment="1">
      <alignment horizontal="center" vertical="center"/>
    </xf>
    <xf numFmtId="2" fontId="14" fillId="0" borderId="0" xfId="4" applyNumberFormat="1" applyFont="1" applyFill="1" applyBorder="1" applyAlignment="1">
      <alignment horizontal="center" vertical="center"/>
    </xf>
    <xf numFmtId="0" fontId="14" fillId="0" borderId="0" xfId="4" applyFont="1" applyFill="1"/>
    <xf numFmtId="0" fontId="3" fillId="0" borderId="0" xfId="4" applyFont="1" applyFill="1"/>
    <xf numFmtId="4" fontId="9" fillId="0" borderId="0" xfId="4" applyNumberFormat="1" applyFont="1" applyFill="1" applyBorder="1" applyAlignment="1">
      <alignment horizontal="center" vertical="center"/>
    </xf>
    <xf numFmtId="4" fontId="19" fillId="0" borderId="0" xfId="4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3" fontId="3" fillId="0" borderId="0" xfId="4" applyNumberFormat="1" applyFont="1" applyFill="1" applyBorder="1" applyAlignment="1">
      <alignment horizontal="center" vertical="center"/>
    </xf>
    <xf numFmtId="4" fontId="18" fillId="0" borderId="0" xfId="4" applyNumberFormat="1" applyFont="1" applyFill="1" applyBorder="1" applyAlignment="1">
      <alignment horizontal="center" vertical="center"/>
    </xf>
    <xf numFmtId="4" fontId="7" fillId="0" borderId="0" xfId="4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/>
    </xf>
    <xf numFmtId="3" fontId="14" fillId="0" borderId="0" xfId="4" applyNumberFormat="1" applyFont="1" applyFill="1" applyBorder="1" applyAlignment="1">
      <alignment horizontal="center" vertical="center"/>
    </xf>
    <xf numFmtId="4" fontId="20" fillId="0" borderId="0" xfId="4" applyNumberFormat="1" applyFont="1" applyFill="1" applyBorder="1" applyAlignment="1">
      <alignment horizontal="center" vertical="center"/>
    </xf>
    <xf numFmtId="4" fontId="14" fillId="0" borderId="0" xfId="4" applyNumberFormat="1" applyFont="1" applyFill="1"/>
    <xf numFmtId="4" fontId="3" fillId="0" borderId="0" xfId="4" applyNumberFormat="1" applyFont="1" applyFill="1"/>
    <xf numFmtId="0" fontId="3" fillId="2" borderId="4" xfId="4" applyFont="1" applyFill="1" applyBorder="1" applyAlignment="1">
      <alignment horizontal="center" vertical="center" wrapText="1"/>
    </xf>
    <xf numFmtId="3" fontId="14" fillId="2" borderId="4" xfId="4" applyNumberFormat="1" applyFont="1" applyFill="1" applyBorder="1" applyAlignment="1">
      <alignment horizontal="center" vertical="center"/>
    </xf>
    <xf numFmtId="164" fontId="14" fillId="2" borderId="5" xfId="4" applyNumberFormat="1" applyFont="1" applyFill="1" applyBorder="1" applyAlignment="1">
      <alignment horizontal="center" vertical="center"/>
    </xf>
    <xf numFmtId="164" fontId="3" fillId="2" borderId="5" xfId="4" applyNumberFormat="1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2" borderId="0" xfId="4" applyFont="1" applyFill="1"/>
    <xf numFmtId="0" fontId="6" fillId="0" borderId="0" xfId="4" applyFont="1" applyFill="1" applyAlignment="1">
      <alignment horizontal="center"/>
    </xf>
    <xf numFmtId="0" fontId="3" fillId="0" borderId="4" xfId="4" applyFont="1" applyFill="1" applyBorder="1"/>
    <xf numFmtId="4" fontId="3" fillId="0" borderId="4" xfId="4" applyNumberFormat="1" applyFont="1" applyFill="1" applyBorder="1"/>
    <xf numFmtId="0" fontId="3" fillId="0" borderId="8" xfId="4" applyFont="1" applyFill="1" applyBorder="1"/>
    <xf numFmtId="4" fontId="3" fillId="0" borderId="8" xfId="4" applyNumberFormat="1" applyFont="1" applyFill="1" applyBorder="1"/>
    <xf numFmtId="4" fontId="3" fillId="0" borderId="9" xfId="4" applyNumberFormat="1" applyFont="1" applyFill="1" applyBorder="1"/>
    <xf numFmtId="0" fontId="3" fillId="0" borderId="10" xfId="4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 wrapText="1"/>
    </xf>
    <xf numFmtId="0" fontId="3" fillId="0" borderId="11" xfId="4" applyFont="1" applyFill="1" applyBorder="1"/>
    <xf numFmtId="0" fontId="3" fillId="0" borderId="12" xfId="4" applyFont="1" applyFill="1" applyBorder="1" applyAlignment="1">
      <alignment horizontal="center" vertical="center" wrapText="1"/>
    </xf>
    <xf numFmtId="4" fontId="3" fillId="0" borderId="14" xfId="4" applyNumberFormat="1" applyFont="1" applyFill="1" applyBorder="1"/>
    <xf numFmtId="3" fontId="3" fillId="0" borderId="8" xfId="4" applyNumberFormat="1" applyFont="1" applyFill="1" applyBorder="1"/>
    <xf numFmtId="3" fontId="3" fillId="0" borderId="4" xfId="4" applyNumberFormat="1" applyFont="1" applyFill="1" applyBorder="1"/>
    <xf numFmtId="3" fontId="3" fillId="0" borderId="16" xfId="4" applyNumberFormat="1" applyFont="1" applyFill="1" applyBorder="1"/>
    <xf numFmtId="0" fontId="3" fillId="0" borderId="16" xfId="4" applyFont="1" applyFill="1" applyBorder="1"/>
    <xf numFmtId="4" fontId="3" fillId="0" borderId="16" xfId="4" applyNumberFormat="1" applyFont="1" applyFill="1" applyBorder="1"/>
    <xf numFmtId="4" fontId="3" fillId="0" borderId="17" xfId="4" applyNumberFormat="1" applyFont="1" applyFill="1" applyBorder="1"/>
    <xf numFmtId="0" fontId="3" fillId="2" borderId="3" xfId="4" applyFont="1" applyFill="1" applyBorder="1" applyAlignment="1">
      <alignment vertical="center" wrapText="1"/>
    </xf>
    <xf numFmtId="3" fontId="3" fillId="0" borderId="4" xfId="4" applyNumberFormat="1" applyFont="1" applyFill="1" applyBorder="1" applyAlignment="1">
      <alignment horizontal="center" vertical="center"/>
    </xf>
    <xf numFmtId="165" fontId="3" fillId="0" borderId="5" xfId="4" applyNumberFormat="1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 wrapText="1"/>
    </xf>
    <xf numFmtId="0" fontId="21" fillId="0" borderId="6" xfId="4" applyFont="1" applyFill="1" applyBorder="1" applyAlignment="1">
      <alignment horizontal="center"/>
    </xf>
    <xf numFmtId="0" fontId="18" fillId="0" borderId="6" xfId="4" applyFont="1" applyFill="1" applyBorder="1" applyAlignment="1">
      <alignment horizontal="center"/>
    </xf>
    <xf numFmtId="0" fontId="3" fillId="0" borderId="3" xfId="4" applyFont="1" applyFill="1" applyBorder="1"/>
    <xf numFmtId="9" fontId="3" fillId="0" borderId="18" xfId="3" applyFont="1" applyFill="1" applyBorder="1"/>
    <xf numFmtId="3" fontId="2" fillId="0" borderId="24" xfId="4" applyNumberFormat="1" applyFont="1" applyFill="1" applyBorder="1" applyAlignment="1">
      <alignment horizontal="center" vertical="center"/>
    </xf>
    <xf numFmtId="4" fontId="9" fillId="0" borderId="26" xfId="4" applyNumberFormat="1" applyFont="1" applyFill="1" applyBorder="1" applyAlignment="1">
      <alignment horizontal="center" vertical="center" wrapText="1"/>
    </xf>
    <xf numFmtId="4" fontId="9" fillId="0" borderId="1" xfId="4" applyNumberFormat="1" applyFont="1" applyFill="1" applyBorder="1" applyAlignment="1">
      <alignment horizontal="center" vertical="center" wrapText="1"/>
    </xf>
    <xf numFmtId="166" fontId="3" fillId="0" borderId="8" xfId="4" applyNumberFormat="1" applyFont="1" applyFill="1" applyBorder="1"/>
    <xf numFmtId="166" fontId="3" fillId="0" borderId="4" xfId="4" applyNumberFormat="1" applyFont="1" applyFill="1" applyBorder="1"/>
    <xf numFmtId="166" fontId="3" fillId="0" borderId="16" xfId="4" applyNumberFormat="1" applyFont="1" applyFill="1" applyBorder="1"/>
    <xf numFmtId="0" fontId="2" fillId="0" borderId="13" xfId="4" applyFont="1" applyFill="1" applyBorder="1" applyAlignment="1">
      <alignment horizontal="left" wrapText="1" indent="1"/>
    </xf>
    <xf numFmtId="0" fontId="2" fillId="0" borderId="15" xfId="4" applyFont="1" applyFill="1" applyBorder="1" applyAlignment="1">
      <alignment horizontal="left" indent="1"/>
    </xf>
    <xf numFmtId="0" fontId="2" fillId="5" borderId="7" xfId="4" applyFont="1" applyFill="1" applyBorder="1"/>
    <xf numFmtId="3" fontId="2" fillId="5" borderId="8" xfId="4" applyNumberFormat="1" applyFont="1" applyFill="1" applyBorder="1"/>
    <xf numFmtId="0" fontId="2" fillId="5" borderId="8" xfId="4" applyFont="1" applyFill="1" applyBorder="1"/>
    <xf numFmtId="166" fontId="2" fillId="5" borderId="8" xfId="4" applyNumberFormat="1" applyFont="1" applyFill="1" applyBorder="1"/>
    <xf numFmtId="4" fontId="2" fillId="5" borderId="8" xfId="4" applyNumberFormat="1" applyFont="1" applyFill="1" applyBorder="1"/>
    <xf numFmtId="4" fontId="2" fillId="5" borderId="18" xfId="4" applyNumberFormat="1" applyFont="1" applyFill="1" applyBorder="1"/>
    <xf numFmtId="9" fontId="2" fillId="5" borderId="18" xfId="3" applyFont="1" applyFill="1" applyBorder="1"/>
    <xf numFmtId="4" fontId="2" fillId="5" borderId="29" xfId="3" applyNumberFormat="1" applyFont="1" applyFill="1" applyBorder="1"/>
    <xf numFmtId="4" fontId="2" fillId="5" borderId="9" xfId="4" applyNumberFormat="1" applyFont="1" applyFill="1" applyBorder="1"/>
    <xf numFmtId="166" fontId="3" fillId="0" borderId="4" xfId="4" applyNumberFormat="1" applyFont="1" applyFill="1" applyBorder="1" applyAlignment="1">
      <alignment horizontal="center" vertical="center"/>
    </xf>
    <xf numFmtId="166" fontId="3" fillId="0" borderId="16" xfId="4" applyNumberFormat="1" applyFont="1" applyFill="1" applyBorder="1" applyAlignment="1">
      <alignment horizontal="center" vertical="center"/>
    </xf>
    <xf numFmtId="166" fontId="2" fillId="5" borderId="8" xfId="4" applyNumberFormat="1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/>
    </xf>
    <xf numFmtId="4" fontId="3" fillId="0" borderId="20" xfId="4" applyNumberFormat="1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3" fillId="2" borderId="34" xfId="4" applyFont="1" applyFill="1" applyBorder="1" applyAlignment="1">
      <alignment horizontal="center" vertical="center"/>
    </xf>
    <xf numFmtId="4" fontId="3" fillId="0" borderId="14" xfId="4" applyNumberFormat="1" applyFont="1" applyFill="1" applyBorder="1" applyAlignment="1">
      <alignment horizontal="center" vertical="center"/>
    </xf>
    <xf numFmtId="0" fontId="12" fillId="2" borderId="34" xfId="4" applyFont="1" applyFill="1" applyBorder="1" applyAlignment="1">
      <alignment horizontal="left" vertical="center" wrapText="1"/>
    </xf>
    <xf numFmtId="0" fontId="9" fillId="5" borderId="23" xfId="4" applyFont="1" applyFill="1" applyBorder="1" applyAlignment="1">
      <alignment horizontal="center" vertical="center"/>
    </xf>
    <xf numFmtId="3" fontId="2" fillId="5" borderId="23" xfId="4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 wrapText="1"/>
    </xf>
    <xf numFmtId="0" fontId="3" fillId="0" borderId="22" xfId="4" applyFont="1" applyFill="1" applyBorder="1" applyAlignment="1">
      <alignment vertical="center"/>
    </xf>
    <xf numFmtId="0" fontId="3" fillId="2" borderId="13" xfId="4" applyFont="1" applyFill="1" applyBorder="1" applyAlignment="1">
      <alignment horizontal="center" vertical="center" wrapText="1"/>
    </xf>
    <xf numFmtId="3" fontId="3" fillId="2" borderId="4" xfId="4" applyNumberFormat="1" applyFont="1" applyFill="1" applyBorder="1" applyAlignment="1">
      <alignment horizontal="center" vertical="center" wrapText="1"/>
    </xf>
    <xf numFmtId="4" fontId="3" fillId="2" borderId="4" xfId="4" applyNumberFormat="1" applyFont="1" applyFill="1" applyBorder="1" applyAlignment="1">
      <alignment horizontal="center" vertical="center" wrapText="1"/>
    </xf>
    <xf numFmtId="0" fontId="3" fillId="2" borderId="35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 wrapText="1"/>
    </xf>
    <xf numFmtId="3" fontId="3" fillId="2" borderId="3" xfId="4" applyNumberFormat="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/>
    </xf>
    <xf numFmtId="164" fontId="8" fillId="2" borderId="30" xfId="4" applyNumberFormat="1" applyFont="1" applyFill="1" applyBorder="1" applyAlignment="1">
      <alignment horizontal="center" vertical="center"/>
    </xf>
    <xf numFmtId="4" fontId="3" fillId="2" borderId="3" xfId="4" applyNumberFormat="1" applyFont="1" applyFill="1" applyBorder="1" applyAlignment="1">
      <alignment horizontal="center" vertical="center"/>
    </xf>
    <xf numFmtId="4" fontId="3" fillId="0" borderId="1" xfId="4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4" fontId="3" fillId="0" borderId="26" xfId="4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/>
    </xf>
    <xf numFmtId="0" fontId="7" fillId="2" borderId="4" xfId="4" applyFont="1" applyFill="1" applyBorder="1" applyAlignment="1">
      <alignment horizontal="center"/>
    </xf>
    <xf numFmtId="0" fontId="14" fillId="2" borderId="4" xfId="4" applyFont="1" applyFill="1" applyBorder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2" fillId="5" borderId="25" xfId="4" applyFont="1" applyFill="1" applyBorder="1" applyAlignment="1">
      <alignment horizontal="center" vertical="center"/>
    </xf>
    <xf numFmtId="4" fontId="11" fillId="5" borderId="23" xfId="4" applyNumberFormat="1" applyFont="1" applyFill="1" applyBorder="1" applyAlignment="1">
      <alignment horizontal="center" vertical="center"/>
    </xf>
    <xf numFmtId="4" fontId="2" fillId="5" borderId="23" xfId="4" applyNumberFormat="1" applyFont="1" applyFill="1" applyBorder="1" applyAlignment="1">
      <alignment horizontal="center" vertical="center"/>
    </xf>
    <xf numFmtId="4" fontId="2" fillId="5" borderId="32" xfId="4" applyNumberFormat="1" applyFont="1" applyFill="1" applyBorder="1" applyAlignment="1">
      <alignment horizontal="center" vertical="center"/>
    </xf>
    <xf numFmtId="0" fontId="11" fillId="4" borderId="7" xfId="4" applyFont="1" applyFill="1" applyBorder="1" applyAlignment="1">
      <alignment horizontal="center" vertical="center"/>
    </xf>
    <xf numFmtId="0" fontId="9" fillId="4" borderId="8" xfId="4" applyFont="1" applyFill="1" applyBorder="1" applyAlignment="1">
      <alignment horizontal="center" vertical="center"/>
    </xf>
    <xf numFmtId="3" fontId="11" fillId="4" borderId="8" xfId="4" applyNumberFormat="1" applyFont="1" applyFill="1" applyBorder="1" applyAlignment="1">
      <alignment horizontal="center" vertical="center"/>
    </xf>
    <xf numFmtId="4" fontId="11" fillId="4" borderId="8" xfId="4" applyNumberFormat="1" applyFont="1" applyFill="1" applyBorder="1" applyAlignment="1">
      <alignment horizontal="center" vertical="center"/>
    </xf>
    <xf numFmtId="4" fontId="11" fillId="4" borderId="9" xfId="4" applyNumberFormat="1" applyFont="1" applyFill="1" applyBorder="1" applyAlignment="1">
      <alignment horizontal="center" vertical="center"/>
    </xf>
    <xf numFmtId="0" fontId="15" fillId="4" borderId="8" xfId="4" applyFont="1" applyFill="1" applyBorder="1" applyAlignment="1">
      <alignment horizontal="center"/>
    </xf>
    <xf numFmtId="164" fontId="16" fillId="4" borderId="37" xfId="4" applyNumberFormat="1" applyFont="1" applyFill="1" applyBorder="1" applyAlignment="1">
      <alignment horizontal="center" vertical="center"/>
    </xf>
    <xf numFmtId="0" fontId="17" fillId="4" borderId="8" xfId="4" applyFont="1" applyFill="1" applyBorder="1" applyAlignment="1">
      <alignment horizontal="center"/>
    </xf>
    <xf numFmtId="4" fontId="11" fillId="4" borderId="9" xfId="4" applyNumberFormat="1" applyFont="1" applyFill="1" applyBorder="1" applyAlignment="1">
      <alignment horizontal="center"/>
    </xf>
    <xf numFmtId="0" fontId="21" fillId="2" borderId="0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 vertical="center" wrapText="1"/>
    </xf>
    <xf numFmtId="3" fontId="3" fillId="0" borderId="3" xfId="4" applyNumberFormat="1" applyFont="1" applyFill="1" applyBorder="1" applyAlignment="1">
      <alignment horizontal="center" vertical="center"/>
    </xf>
    <xf numFmtId="0" fontId="21" fillId="2" borderId="1" xfId="4" applyFont="1" applyFill="1" applyBorder="1" applyAlignment="1">
      <alignment horizontal="center"/>
    </xf>
    <xf numFmtId="165" fontId="3" fillId="0" borderId="30" xfId="4" applyNumberFormat="1" applyFont="1" applyFill="1" applyBorder="1" applyAlignment="1">
      <alignment horizontal="center" vertical="center"/>
    </xf>
    <xf numFmtId="4" fontId="3" fillId="0" borderId="3" xfId="4" applyNumberFormat="1" applyFont="1" applyFill="1" applyBorder="1" applyAlignment="1">
      <alignment horizontal="center" vertical="center"/>
    </xf>
    <xf numFmtId="0" fontId="3" fillId="0" borderId="30" xfId="4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/>
    </xf>
    <xf numFmtId="0" fontId="18" fillId="0" borderId="1" xfId="4" applyFont="1" applyFill="1" applyBorder="1" applyAlignment="1">
      <alignment horizontal="center"/>
    </xf>
    <xf numFmtId="0" fontId="21" fillId="2" borderId="4" xfId="4" applyFont="1" applyFill="1" applyBorder="1" applyAlignment="1">
      <alignment horizontal="center"/>
    </xf>
    <xf numFmtId="0" fontId="14" fillId="0" borderId="4" xfId="4" applyFont="1" applyFill="1" applyBorder="1" applyAlignment="1">
      <alignment horizontal="center"/>
    </xf>
    <xf numFmtId="0" fontId="18" fillId="0" borderId="4" xfId="4" applyFont="1" applyFill="1" applyBorder="1" applyAlignment="1">
      <alignment horizontal="center"/>
    </xf>
    <xf numFmtId="0" fontId="22" fillId="4" borderId="8" xfId="4" applyFont="1" applyFill="1" applyBorder="1" applyAlignment="1">
      <alignment horizontal="center"/>
    </xf>
    <xf numFmtId="164" fontId="11" fillId="4" borderId="37" xfId="4" applyNumberFormat="1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left" indent="2"/>
    </xf>
    <xf numFmtId="0" fontId="2" fillId="0" borderId="21" xfId="4" applyFont="1" applyFill="1" applyBorder="1" applyAlignment="1">
      <alignment horizontal="left" wrapText="1" indent="1"/>
    </xf>
    <xf numFmtId="3" fontId="3" fillId="0" borderId="3" xfId="4" applyNumberFormat="1" applyFont="1" applyFill="1" applyBorder="1"/>
    <xf numFmtId="0" fontId="3" fillId="3" borderId="3" xfId="4" applyFont="1" applyFill="1" applyBorder="1"/>
    <xf numFmtId="166" fontId="3" fillId="0" borderId="3" xfId="4" applyNumberFormat="1" applyFont="1" applyFill="1" applyBorder="1"/>
    <xf numFmtId="4" fontId="3" fillId="0" borderId="3" xfId="4" applyNumberFormat="1" applyFont="1" applyFill="1" applyBorder="1"/>
    <xf numFmtId="4" fontId="3" fillId="0" borderId="2" xfId="4" applyNumberFormat="1" applyFont="1" applyFill="1" applyBorder="1"/>
    <xf numFmtId="9" fontId="3" fillId="0" borderId="2" xfId="3" applyFont="1" applyFill="1" applyBorder="1"/>
    <xf numFmtId="4" fontId="3" fillId="0" borderId="38" xfId="3" applyNumberFormat="1" applyFont="1" applyFill="1" applyBorder="1"/>
    <xf numFmtId="4" fontId="3" fillId="0" borderId="22" xfId="4" applyNumberFormat="1" applyFont="1" applyFill="1" applyBorder="1"/>
    <xf numFmtId="0" fontId="8" fillId="0" borderId="13" xfId="4" applyFont="1" applyFill="1" applyBorder="1" applyAlignment="1">
      <alignment horizontal="left" indent="2"/>
    </xf>
    <xf numFmtId="0" fontId="2" fillId="0" borderId="7" xfId="4" applyFont="1" applyFill="1" applyBorder="1" applyAlignment="1">
      <alignment horizontal="left" indent="1"/>
    </xf>
    <xf numFmtId="4" fontId="3" fillId="0" borderId="18" xfId="4" applyNumberFormat="1" applyFont="1" applyFill="1" applyBorder="1"/>
    <xf numFmtId="4" fontId="3" fillId="0" borderId="29" xfId="3" applyNumberFormat="1" applyFont="1" applyFill="1" applyBorder="1"/>
    <xf numFmtId="4" fontId="3" fillId="0" borderId="4" xfId="4" applyNumberFormat="1" applyFont="1" applyFill="1" applyBorder="1" applyAlignment="1">
      <alignment horizontal="right"/>
    </xf>
    <xf numFmtId="4" fontId="3" fillId="0" borderId="16" xfId="4" applyNumberFormat="1" applyFont="1" applyFill="1" applyBorder="1" applyAlignment="1">
      <alignment horizontal="right"/>
    </xf>
    <xf numFmtId="0" fontId="3" fillId="0" borderId="4" xfId="4" applyFont="1" applyFill="1" applyBorder="1" applyAlignment="1">
      <alignment horizontal="right"/>
    </xf>
    <xf numFmtId="0" fontId="3" fillId="0" borderId="14" xfId="4" applyFont="1" applyFill="1" applyBorder="1" applyAlignment="1">
      <alignment horizontal="right"/>
    </xf>
    <xf numFmtId="0" fontId="3" fillId="0" borderId="16" xfId="4" applyFont="1" applyFill="1" applyBorder="1" applyAlignment="1">
      <alignment horizontal="right"/>
    </xf>
    <xf numFmtId="0" fontId="3" fillId="0" borderId="17" xfId="4" applyFont="1" applyFill="1" applyBorder="1" applyAlignment="1">
      <alignment horizontal="right"/>
    </xf>
    <xf numFmtId="0" fontId="6" fillId="0" borderId="0" xfId="4" applyFont="1" applyFill="1" applyAlignment="1">
      <alignment horizontal="center"/>
    </xf>
    <xf numFmtId="166" fontId="3" fillId="0" borderId="5" xfId="4" applyNumberFormat="1" applyFont="1" applyFill="1" applyBorder="1" applyAlignment="1">
      <alignment horizontal="center" vertical="center"/>
    </xf>
    <xf numFmtId="166" fontId="3" fillId="0" borderId="30" xfId="4" applyNumberFormat="1" applyFont="1" applyFill="1" applyBorder="1" applyAlignment="1">
      <alignment horizontal="center" vertical="center"/>
    </xf>
    <xf numFmtId="0" fontId="21" fillId="2" borderId="3" xfId="4" applyFont="1" applyFill="1" applyBorder="1" applyAlignment="1">
      <alignment horizontal="center"/>
    </xf>
    <xf numFmtId="3" fontId="3" fillId="2" borderId="3" xfId="4" applyNumberFormat="1" applyFont="1" applyFill="1" applyBorder="1" applyAlignment="1">
      <alignment horizontal="center" vertical="center" wrapText="1"/>
    </xf>
    <xf numFmtId="3" fontId="3" fillId="0" borderId="6" xfId="4" applyNumberFormat="1" applyFont="1" applyFill="1" applyBorder="1" applyAlignment="1">
      <alignment horizontal="center" vertical="center"/>
    </xf>
    <xf numFmtId="0" fontId="21" fillId="2" borderId="6" xfId="4" applyFont="1" applyFill="1" applyBorder="1" applyAlignment="1">
      <alignment horizontal="center"/>
    </xf>
    <xf numFmtId="165" fontId="3" fillId="0" borderId="6" xfId="4" applyNumberFormat="1" applyFont="1" applyFill="1" applyBorder="1" applyAlignment="1">
      <alignment horizontal="center" vertical="center"/>
    </xf>
    <xf numFmtId="166" fontId="3" fillId="0" borderId="6" xfId="4" applyNumberFormat="1" applyFont="1" applyFill="1" applyBorder="1" applyAlignment="1">
      <alignment horizontal="center" vertical="center"/>
    </xf>
    <xf numFmtId="0" fontId="9" fillId="0" borderId="24" xfId="4" applyFont="1" applyFill="1" applyBorder="1" applyAlignment="1">
      <alignment horizontal="center" vertical="center" wrapText="1"/>
    </xf>
    <xf numFmtId="3" fontId="3" fillId="0" borderId="24" xfId="4" applyNumberFormat="1" applyFont="1" applyFill="1" applyBorder="1" applyAlignment="1">
      <alignment horizontal="center" vertical="center"/>
    </xf>
    <xf numFmtId="0" fontId="3" fillId="2" borderId="39" xfId="4" applyFont="1" applyFill="1" applyBorder="1" applyAlignment="1">
      <alignment horizontal="center" vertical="center"/>
    </xf>
    <xf numFmtId="165" fontId="3" fillId="0" borderId="40" xfId="4" applyNumberFormat="1" applyFont="1" applyFill="1" applyBorder="1" applyAlignment="1">
      <alignment horizontal="center" vertical="center"/>
    </xf>
    <xf numFmtId="4" fontId="3" fillId="0" borderId="24" xfId="4" applyNumberFormat="1" applyFont="1" applyFill="1" applyBorder="1" applyAlignment="1">
      <alignment horizontal="center" vertical="center"/>
    </xf>
    <xf numFmtId="166" fontId="3" fillId="0" borderId="40" xfId="4" applyNumberFormat="1" applyFont="1" applyFill="1" applyBorder="1" applyAlignment="1">
      <alignment horizontal="center" vertical="center"/>
    </xf>
    <xf numFmtId="3" fontId="3" fillId="2" borderId="24" xfId="4" applyNumberFormat="1" applyFont="1" applyFill="1" applyBorder="1" applyAlignment="1">
      <alignment horizontal="center" vertical="center" wrapText="1"/>
    </xf>
    <xf numFmtId="4" fontId="3" fillId="2" borderId="24" xfId="4" applyNumberFormat="1" applyFont="1" applyFill="1" applyBorder="1" applyAlignment="1">
      <alignment horizontal="center" vertical="center" wrapText="1"/>
    </xf>
    <xf numFmtId="4" fontId="3" fillId="0" borderId="19" xfId="4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center" vertical="center"/>
    </xf>
    <xf numFmtId="165" fontId="3" fillId="0" borderId="1" xfId="4" applyNumberFormat="1" applyFont="1" applyFill="1" applyBorder="1" applyAlignment="1">
      <alignment horizontal="center" vertical="center"/>
    </xf>
    <xf numFmtId="166" fontId="3" fillId="0" borderId="1" xfId="4" applyNumberFormat="1" applyFont="1" applyFill="1" applyBorder="1" applyAlignment="1">
      <alignment horizontal="center" vertical="center"/>
    </xf>
    <xf numFmtId="4" fontId="3" fillId="0" borderId="0" xfId="4" applyNumberFormat="1" applyFont="1" applyFill="1" applyAlignment="1">
      <alignment horizontal="center"/>
    </xf>
    <xf numFmtId="165" fontId="11" fillId="4" borderId="8" xfId="4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2" borderId="35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/>
    </xf>
    <xf numFmtId="4" fontId="18" fillId="0" borderId="6" xfId="4" applyNumberFormat="1" applyFont="1" applyFill="1" applyBorder="1" applyAlignment="1">
      <alignment horizontal="center" vertical="center"/>
    </xf>
    <xf numFmtId="0" fontId="3" fillId="0" borderId="34" xfId="4" applyFont="1" applyFill="1" applyBorder="1" applyAlignment="1">
      <alignment horizontal="center" vertical="center"/>
    </xf>
    <xf numFmtId="0" fontId="21" fillId="0" borderId="3" xfId="4" applyFont="1" applyFill="1" applyBorder="1" applyAlignment="1">
      <alignment horizontal="center"/>
    </xf>
    <xf numFmtId="0" fontId="18" fillId="0" borderId="3" xfId="4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 vertical="center"/>
    </xf>
    <xf numFmtId="0" fontId="2" fillId="5" borderId="10" xfId="4" applyFont="1" applyFill="1" applyBorder="1" applyAlignment="1">
      <alignment horizontal="center" vertical="center"/>
    </xf>
    <xf numFmtId="0" fontId="9" fillId="5" borderId="11" xfId="4" applyFont="1" applyFill="1" applyBorder="1" applyAlignment="1">
      <alignment horizontal="center" vertical="center"/>
    </xf>
    <xf numFmtId="3" fontId="2" fillId="5" borderId="11" xfId="4" applyNumberFormat="1" applyFont="1" applyFill="1" applyBorder="1" applyAlignment="1">
      <alignment horizontal="center" vertical="center"/>
    </xf>
    <xf numFmtId="4" fontId="11" fillId="5" borderId="11" xfId="4" applyNumberFormat="1" applyFont="1" applyFill="1" applyBorder="1" applyAlignment="1">
      <alignment horizontal="center" vertical="center"/>
    </xf>
    <xf numFmtId="4" fontId="2" fillId="5" borderId="11" xfId="4" applyNumberFormat="1" applyFont="1" applyFill="1" applyBorder="1" applyAlignment="1">
      <alignment horizontal="center" vertical="center"/>
    </xf>
    <xf numFmtId="4" fontId="2" fillId="5" borderId="12" xfId="4" applyNumberFormat="1" applyFont="1" applyFill="1" applyBorder="1" applyAlignment="1">
      <alignment horizontal="center" vertical="center"/>
    </xf>
    <xf numFmtId="0" fontId="3" fillId="0" borderId="15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horizontal="center" vertical="center"/>
    </xf>
    <xf numFmtId="3" fontId="3" fillId="0" borderId="16" xfId="4" applyNumberFormat="1" applyFont="1" applyFill="1" applyBorder="1" applyAlignment="1">
      <alignment horizontal="center" vertical="center"/>
    </xf>
    <xf numFmtId="2" fontId="3" fillId="0" borderId="16" xfId="4" applyNumberFormat="1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4" fontId="18" fillId="0" borderId="16" xfId="4" applyNumberFormat="1" applyFont="1" applyFill="1" applyBorder="1" applyAlignment="1">
      <alignment horizontal="center" vertical="center"/>
    </xf>
    <xf numFmtId="4" fontId="3" fillId="0" borderId="16" xfId="4" applyNumberFormat="1" applyFont="1" applyFill="1" applyBorder="1" applyAlignment="1">
      <alignment horizontal="center" vertical="center"/>
    </xf>
    <xf numFmtId="4" fontId="3" fillId="0" borderId="17" xfId="4" applyNumberFormat="1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/>
    </xf>
    <xf numFmtId="167" fontId="3" fillId="0" borderId="0" xfId="4" applyNumberFormat="1" applyFont="1" applyFill="1"/>
    <xf numFmtId="167" fontId="3" fillId="0" borderId="0" xfId="4" applyNumberFormat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2" borderId="35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6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>
      <alignment horizontal="center"/>
    </xf>
    <xf numFmtId="0" fontId="21" fillId="0" borderId="4" xfId="4" applyFont="1" applyFill="1" applyBorder="1" applyAlignment="1">
      <alignment horizontal="center"/>
    </xf>
    <xf numFmtId="4" fontId="3" fillId="0" borderId="1" xfId="4" applyNumberFormat="1" applyFont="1" applyFill="1" applyBorder="1" applyAlignment="1">
      <alignment horizontal="center" vertical="center" wrapText="1"/>
    </xf>
    <xf numFmtId="3" fontId="3" fillId="0" borderId="0" xfId="4" applyNumberFormat="1" applyFont="1" applyFill="1"/>
    <xf numFmtId="0" fontId="18" fillId="0" borderId="0" xfId="4" applyFont="1" applyFill="1" applyBorder="1" applyAlignment="1">
      <alignment vertical="center" wrapText="1"/>
    </xf>
    <xf numFmtId="168" fontId="18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167" fontId="18" fillId="0" borderId="0" xfId="4" applyNumberFormat="1" applyFont="1" applyFill="1" applyBorder="1" applyAlignment="1">
      <alignment vertical="center" wrapText="1"/>
    </xf>
    <xf numFmtId="0" fontId="18" fillId="0" borderId="41" xfId="4" applyFont="1" applyFill="1" applyBorder="1" applyAlignment="1">
      <alignment vertical="center" wrapText="1"/>
    </xf>
    <xf numFmtId="168" fontId="18" fillId="0" borderId="41" xfId="4" applyNumberFormat="1" applyFont="1" applyFill="1" applyBorder="1" applyAlignment="1">
      <alignment vertical="center"/>
    </xf>
    <xf numFmtId="0" fontId="18" fillId="0" borderId="41" xfId="4" applyFont="1" applyFill="1" applyBorder="1" applyAlignment="1">
      <alignment vertical="center"/>
    </xf>
    <xf numFmtId="4" fontId="18" fillId="0" borderId="41" xfId="4" applyNumberFormat="1" applyFont="1" applyFill="1" applyBorder="1" applyAlignment="1">
      <alignment horizontal="center" vertical="center"/>
    </xf>
    <xf numFmtId="167" fontId="18" fillId="0" borderId="41" xfId="4" applyNumberFormat="1" applyFont="1" applyFill="1" applyBorder="1" applyAlignment="1">
      <alignment vertical="center" wrapText="1"/>
    </xf>
    <xf numFmtId="0" fontId="18" fillId="0" borderId="0" xfId="4" applyFont="1" applyFill="1" applyBorder="1" applyAlignment="1">
      <alignment horizontal="right" vertical="center"/>
    </xf>
    <xf numFmtId="0" fontId="6" fillId="0" borderId="0" xfId="4" applyFont="1" applyFill="1" applyAlignment="1">
      <alignment horizontal="center"/>
    </xf>
    <xf numFmtId="0" fontId="3" fillId="2" borderId="33" xfId="4" applyFont="1" applyFill="1" applyBorder="1" applyAlignment="1">
      <alignment horizontal="center" vertical="center" wrapText="1"/>
    </xf>
    <xf numFmtId="0" fontId="3" fillId="2" borderId="34" xfId="4" applyFont="1" applyFill="1" applyBorder="1" applyAlignment="1">
      <alignment horizontal="center" vertical="center" wrapText="1"/>
    </xf>
    <xf numFmtId="0" fontId="3" fillId="2" borderId="35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24" xfId="4" applyFont="1" applyFill="1" applyBorder="1" applyAlignment="1">
      <alignment horizontal="center" vertical="center" wrapText="1"/>
    </xf>
    <xf numFmtId="3" fontId="2" fillId="0" borderId="0" xfId="4" applyNumberFormat="1" applyFont="1" applyFill="1" applyBorder="1" applyAlignment="1">
      <alignment horizontal="center" vertical="center"/>
    </xf>
    <xf numFmtId="0" fontId="2" fillId="5" borderId="29" xfId="4" applyFont="1" applyFill="1" applyBorder="1" applyAlignment="1">
      <alignment horizontal="center" vertical="center"/>
    </xf>
    <xf numFmtId="0" fontId="2" fillId="5" borderId="31" xfId="4" applyFont="1" applyFill="1" applyBorder="1" applyAlignment="1">
      <alignment horizontal="center" vertical="center"/>
    </xf>
    <xf numFmtId="0" fontId="2" fillId="5" borderId="36" xfId="4" applyFont="1" applyFill="1" applyBorder="1" applyAlignment="1">
      <alignment horizontal="center" vertical="center"/>
    </xf>
    <xf numFmtId="0" fontId="2" fillId="2" borderId="24" xfId="4" applyFont="1" applyFill="1" applyBorder="1" applyAlignment="1">
      <alignment horizontal="center" vertical="center" wrapText="1"/>
    </xf>
    <xf numFmtId="0" fontId="2" fillId="2" borderId="19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3" fontId="11" fillId="0" borderId="27" xfId="4" applyNumberFormat="1" applyFont="1" applyFill="1" applyBorder="1" applyAlignment="1">
      <alignment horizontal="center" vertical="center"/>
    </xf>
    <xf numFmtId="3" fontId="11" fillId="0" borderId="28" xfId="4" applyNumberFormat="1" applyFont="1" applyFill="1" applyBorder="1" applyAlignment="1">
      <alignment horizontal="center" vertical="center"/>
    </xf>
    <xf numFmtId="2" fontId="9" fillId="0" borderId="10" xfId="4" applyNumberFormat="1" applyFont="1" applyFill="1" applyBorder="1" applyAlignment="1">
      <alignment horizontal="center" vertical="center" wrapText="1"/>
    </xf>
    <xf numFmtId="2" fontId="9" fillId="0" borderId="21" xfId="4" applyNumberFormat="1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23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 wrapText="1"/>
    </xf>
    <xf numFmtId="0" fontId="9" fillId="0" borderId="22" xfId="4" applyFont="1" applyFill="1" applyBorder="1" applyAlignment="1">
      <alignment horizontal="center" vertical="center" wrapText="1"/>
    </xf>
    <xf numFmtId="0" fontId="3" fillId="0" borderId="26" xfId="4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23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3" fillId="2" borderId="35" xfId="4" applyFont="1" applyFill="1" applyBorder="1" applyAlignment="1">
      <alignment horizontal="center" vertical="center"/>
    </xf>
    <xf numFmtId="0" fontId="3" fillId="2" borderId="25" xfId="4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 wrapText="1"/>
    </xf>
    <xf numFmtId="0" fontId="3" fillId="2" borderId="21" xfId="4" applyFont="1" applyFill="1" applyBorder="1" applyAlignment="1">
      <alignment horizontal="center" vertical="center"/>
    </xf>
    <xf numFmtId="0" fontId="18" fillId="0" borderId="41" xfId="4" applyFont="1" applyFill="1" applyBorder="1" applyAlignment="1">
      <alignment horizontal="right" vertical="center"/>
    </xf>
  </cellXfs>
  <cellStyles count="5">
    <cellStyle name="Обычный" xfId="0" builtinId="0"/>
    <cellStyle name="Обычный 2" xfId="4"/>
    <cellStyle name="Процентный" xfId="3" builtinId="5"/>
    <cellStyle name="Процентный 2" xfId="1"/>
    <cellStyle name="Стиль 1" xfId="2"/>
  </cellStyles>
  <dxfs count="0"/>
  <tableStyles count="0" defaultTableStyle="TableStyleMedium9" defaultPivotStyle="PivotStyleLight16"/>
  <colors>
    <mruColors>
      <color rgb="FFFFFFBD"/>
      <color rgb="FFB9FF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40"/>
  <sheetViews>
    <sheetView workbookViewId="0">
      <selection activeCell="M7" sqref="M7"/>
    </sheetView>
  </sheetViews>
  <sheetFormatPr defaultRowHeight="15.75" x14ac:dyDescent="0.25"/>
  <cols>
    <col min="1" max="1" width="18.85546875" style="3" customWidth="1"/>
    <col min="2" max="2" width="28" style="3" customWidth="1"/>
    <col min="3" max="3" width="16.42578125" style="3" customWidth="1"/>
    <col min="4" max="4" width="17.7109375" style="3" hidden="1" customWidth="1"/>
    <col min="5" max="5" width="16.28515625" style="3" customWidth="1"/>
    <col min="6" max="6" width="18.140625" style="22" customWidth="1"/>
    <col min="7" max="7" width="17.7109375" style="30" customWidth="1"/>
    <col min="8" max="8" width="18" style="3" customWidth="1"/>
    <col min="9" max="9" width="15.7109375" style="3" hidden="1" customWidth="1"/>
    <col min="10" max="10" width="17.42578125" style="3" customWidth="1"/>
    <col min="11" max="11" width="14.5703125" style="3" customWidth="1"/>
    <col min="12" max="12" width="16.85546875" style="30" customWidth="1"/>
    <col min="13" max="13" width="18.42578125" style="3" customWidth="1"/>
    <col min="14" max="15" width="16.85546875" style="3" customWidth="1"/>
    <col min="16" max="16" width="17.140625" style="30" customWidth="1"/>
    <col min="17" max="242" width="9.140625" style="3"/>
    <col min="243" max="243" width="18.85546875" style="3" customWidth="1"/>
    <col min="244" max="244" width="28" style="3" customWidth="1"/>
    <col min="245" max="245" width="16.42578125" style="3" customWidth="1"/>
    <col min="246" max="246" width="0" style="3" hidden="1" customWidth="1"/>
    <col min="247" max="247" width="18.85546875" style="3" customWidth="1"/>
    <col min="248" max="248" width="18.140625" style="3" customWidth="1"/>
    <col min="249" max="249" width="17.7109375" style="3" customWidth="1"/>
    <col min="250" max="250" width="18" style="3" customWidth="1"/>
    <col min="251" max="251" width="0" style="3" hidden="1" customWidth="1"/>
    <col min="252" max="252" width="17.42578125" style="3" customWidth="1"/>
    <col min="253" max="253" width="14.5703125" style="3" customWidth="1"/>
    <col min="254" max="257" width="16.85546875" style="3" customWidth="1"/>
    <col min="258" max="258" width="17.140625" style="3" customWidth="1"/>
    <col min="259" max="263" width="0" style="3" hidden="1" customWidth="1"/>
    <col min="264" max="264" width="13.140625" style="3" bestFit="1" customWidth="1"/>
    <col min="265" max="265" width="16.140625" style="3" customWidth="1"/>
    <col min="266" max="498" width="9.140625" style="3"/>
    <col min="499" max="499" width="18.85546875" style="3" customWidth="1"/>
    <col min="500" max="500" width="28" style="3" customWidth="1"/>
    <col min="501" max="501" width="16.42578125" style="3" customWidth="1"/>
    <col min="502" max="502" width="0" style="3" hidden="1" customWidth="1"/>
    <col min="503" max="503" width="18.85546875" style="3" customWidth="1"/>
    <col min="504" max="504" width="18.140625" style="3" customWidth="1"/>
    <col min="505" max="505" width="17.7109375" style="3" customWidth="1"/>
    <col min="506" max="506" width="18" style="3" customWidth="1"/>
    <col min="507" max="507" width="0" style="3" hidden="1" customWidth="1"/>
    <col min="508" max="508" width="17.42578125" style="3" customWidth="1"/>
    <col min="509" max="509" width="14.5703125" style="3" customWidth="1"/>
    <col min="510" max="513" width="16.85546875" style="3" customWidth="1"/>
    <col min="514" max="514" width="17.140625" style="3" customWidth="1"/>
    <col min="515" max="519" width="0" style="3" hidden="1" customWidth="1"/>
    <col min="520" max="520" width="13.140625" style="3" bestFit="1" customWidth="1"/>
    <col min="521" max="521" width="16.140625" style="3" customWidth="1"/>
    <col min="522" max="754" width="9.140625" style="3"/>
    <col min="755" max="755" width="18.85546875" style="3" customWidth="1"/>
    <col min="756" max="756" width="28" style="3" customWidth="1"/>
    <col min="757" max="757" width="16.42578125" style="3" customWidth="1"/>
    <col min="758" max="758" width="0" style="3" hidden="1" customWidth="1"/>
    <col min="759" max="759" width="18.85546875" style="3" customWidth="1"/>
    <col min="760" max="760" width="18.140625" style="3" customWidth="1"/>
    <col min="761" max="761" width="17.7109375" style="3" customWidth="1"/>
    <col min="762" max="762" width="18" style="3" customWidth="1"/>
    <col min="763" max="763" width="0" style="3" hidden="1" customWidth="1"/>
    <col min="764" max="764" width="17.42578125" style="3" customWidth="1"/>
    <col min="765" max="765" width="14.5703125" style="3" customWidth="1"/>
    <col min="766" max="769" width="16.85546875" style="3" customWidth="1"/>
    <col min="770" max="770" width="17.140625" style="3" customWidth="1"/>
    <col min="771" max="775" width="0" style="3" hidden="1" customWidth="1"/>
    <col min="776" max="776" width="13.140625" style="3" bestFit="1" customWidth="1"/>
    <col min="777" max="777" width="16.140625" style="3" customWidth="1"/>
    <col min="778" max="1010" width="9.140625" style="3"/>
    <col min="1011" max="1011" width="18.85546875" style="3" customWidth="1"/>
    <col min="1012" max="1012" width="28" style="3" customWidth="1"/>
    <col min="1013" max="1013" width="16.42578125" style="3" customWidth="1"/>
    <col min="1014" max="1014" width="0" style="3" hidden="1" customWidth="1"/>
    <col min="1015" max="1015" width="18.85546875" style="3" customWidth="1"/>
    <col min="1016" max="1016" width="18.140625" style="3" customWidth="1"/>
    <col min="1017" max="1017" width="17.7109375" style="3" customWidth="1"/>
    <col min="1018" max="1018" width="18" style="3" customWidth="1"/>
    <col min="1019" max="1019" width="0" style="3" hidden="1" customWidth="1"/>
    <col min="1020" max="1020" width="17.42578125" style="3" customWidth="1"/>
    <col min="1021" max="1021" width="14.5703125" style="3" customWidth="1"/>
    <col min="1022" max="1025" width="16.85546875" style="3" customWidth="1"/>
    <col min="1026" max="1026" width="17.140625" style="3" customWidth="1"/>
    <col min="1027" max="1031" width="0" style="3" hidden="1" customWidth="1"/>
    <col min="1032" max="1032" width="13.140625" style="3" bestFit="1" customWidth="1"/>
    <col min="1033" max="1033" width="16.140625" style="3" customWidth="1"/>
    <col min="1034" max="1266" width="9.140625" style="3"/>
    <col min="1267" max="1267" width="18.85546875" style="3" customWidth="1"/>
    <col min="1268" max="1268" width="28" style="3" customWidth="1"/>
    <col min="1269" max="1269" width="16.42578125" style="3" customWidth="1"/>
    <col min="1270" max="1270" width="0" style="3" hidden="1" customWidth="1"/>
    <col min="1271" max="1271" width="18.85546875" style="3" customWidth="1"/>
    <col min="1272" max="1272" width="18.140625" style="3" customWidth="1"/>
    <col min="1273" max="1273" width="17.7109375" style="3" customWidth="1"/>
    <col min="1274" max="1274" width="18" style="3" customWidth="1"/>
    <col min="1275" max="1275" width="0" style="3" hidden="1" customWidth="1"/>
    <col min="1276" max="1276" width="17.42578125" style="3" customWidth="1"/>
    <col min="1277" max="1277" width="14.5703125" style="3" customWidth="1"/>
    <col min="1278" max="1281" width="16.85546875" style="3" customWidth="1"/>
    <col min="1282" max="1282" width="17.140625" style="3" customWidth="1"/>
    <col min="1283" max="1287" width="0" style="3" hidden="1" customWidth="1"/>
    <col min="1288" max="1288" width="13.140625" style="3" bestFit="1" customWidth="1"/>
    <col min="1289" max="1289" width="16.140625" style="3" customWidth="1"/>
    <col min="1290" max="1522" width="9.140625" style="3"/>
    <col min="1523" max="1523" width="18.85546875" style="3" customWidth="1"/>
    <col min="1524" max="1524" width="28" style="3" customWidth="1"/>
    <col min="1525" max="1525" width="16.42578125" style="3" customWidth="1"/>
    <col min="1526" max="1526" width="0" style="3" hidden="1" customWidth="1"/>
    <col min="1527" max="1527" width="18.85546875" style="3" customWidth="1"/>
    <col min="1528" max="1528" width="18.140625" style="3" customWidth="1"/>
    <col min="1529" max="1529" width="17.7109375" style="3" customWidth="1"/>
    <col min="1530" max="1530" width="18" style="3" customWidth="1"/>
    <col min="1531" max="1531" width="0" style="3" hidden="1" customWidth="1"/>
    <col min="1532" max="1532" width="17.42578125" style="3" customWidth="1"/>
    <col min="1533" max="1533" width="14.5703125" style="3" customWidth="1"/>
    <col min="1534" max="1537" width="16.85546875" style="3" customWidth="1"/>
    <col min="1538" max="1538" width="17.140625" style="3" customWidth="1"/>
    <col min="1539" max="1543" width="0" style="3" hidden="1" customWidth="1"/>
    <col min="1544" max="1544" width="13.140625" style="3" bestFit="1" customWidth="1"/>
    <col min="1545" max="1545" width="16.140625" style="3" customWidth="1"/>
    <col min="1546" max="1778" width="9.140625" style="3"/>
    <col min="1779" max="1779" width="18.85546875" style="3" customWidth="1"/>
    <col min="1780" max="1780" width="28" style="3" customWidth="1"/>
    <col min="1781" max="1781" width="16.42578125" style="3" customWidth="1"/>
    <col min="1782" max="1782" width="0" style="3" hidden="1" customWidth="1"/>
    <col min="1783" max="1783" width="18.85546875" style="3" customWidth="1"/>
    <col min="1784" max="1784" width="18.140625" style="3" customWidth="1"/>
    <col min="1785" max="1785" width="17.7109375" style="3" customWidth="1"/>
    <col min="1786" max="1786" width="18" style="3" customWidth="1"/>
    <col min="1787" max="1787" width="0" style="3" hidden="1" customWidth="1"/>
    <col min="1788" max="1788" width="17.42578125" style="3" customWidth="1"/>
    <col min="1789" max="1789" width="14.5703125" style="3" customWidth="1"/>
    <col min="1790" max="1793" width="16.85546875" style="3" customWidth="1"/>
    <col min="1794" max="1794" width="17.140625" style="3" customWidth="1"/>
    <col min="1795" max="1799" width="0" style="3" hidden="1" customWidth="1"/>
    <col min="1800" max="1800" width="13.140625" style="3" bestFit="1" customWidth="1"/>
    <col min="1801" max="1801" width="16.140625" style="3" customWidth="1"/>
    <col min="1802" max="2034" width="9.140625" style="3"/>
    <col min="2035" max="2035" width="18.85546875" style="3" customWidth="1"/>
    <col min="2036" max="2036" width="28" style="3" customWidth="1"/>
    <col min="2037" max="2037" width="16.42578125" style="3" customWidth="1"/>
    <col min="2038" max="2038" width="0" style="3" hidden="1" customWidth="1"/>
    <col min="2039" max="2039" width="18.85546875" style="3" customWidth="1"/>
    <col min="2040" max="2040" width="18.140625" style="3" customWidth="1"/>
    <col min="2041" max="2041" width="17.7109375" style="3" customWidth="1"/>
    <col min="2042" max="2042" width="18" style="3" customWidth="1"/>
    <col min="2043" max="2043" width="0" style="3" hidden="1" customWidth="1"/>
    <col min="2044" max="2044" width="17.42578125" style="3" customWidth="1"/>
    <col min="2045" max="2045" width="14.5703125" style="3" customWidth="1"/>
    <col min="2046" max="2049" width="16.85546875" style="3" customWidth="1"/>
    <col min="2050" max="2050" width="17.140625" style="3" customWidth="1"/>
    <col min="2051" max="2055" width="0" style="3" hidden="1" customWidth="1"/>
    <col min="2056" max="2056" width="13.140625" style="3" bestFit="1" customWidth="1"/>
    <col min="2057" max="2057" width="16.140625" style="3" customWidth="1"/>
    <col min="2058" max="2290" width="9.140625" style="3"/>
    <col min="2291" max="2291" width="18.85546875" style="3" customWidth="1"/>
    <col min="2292" max="2292" width="28" style="3" customWidth="1"/>
    <col min="2293" max="2293" width="16.42578125" style="3" customWidth="1"/>
    <col min="2294" max="2294" width="0" style="3" hidden="1" customWidth="1"/>
    <col min="2295" max="2295" width="18.85546875" style="3" customWidth="1"/>
    <col min="2296" max="2296" width="18.140625" style="3" customWidth="1"/>
    <col min="2297" max="2297" width="17.7109375" style="3" customWidth="1"/>
    <col min="2298" max="2298" width="18" style="3" customWidth="1"/>
    <col min="2299" max="2299" width="0" style="3" hidden="1" customWidth="1"/>
    <col min="2300" max="2300" width="17.42578125" style="3" customWidth="1"/>
    <col min="2301" max="2301" width="14.5703125" style="3" customWidth="1"/>
    <col min="2302" max="2305" width="16.85546875" style="3" customWidth="1"/>
    <col min="2306" max="2306" width="17.140625" style="3" customWidth="1"/>
    <col min="2307" max="2311" width="0" style="3" hidden="1" customWidth="1"/>
    <col min="2312" max="2312" width="13.140625" style="3" bestFit="1" customWidth="1"/>
    <col min="2313" max="2313" width="16.140625" style="3" customWidth="1"/>
    <col min="2314" max="2546" width="9.140625" style="3"/>
    <col min="2547" max="2547" width="18.85546875" style="3" customWidth="1"/>
    <col min="2548" max="2548" width="28" style="3" customWidth="1"/>
    <col min="2549" max="2549" width="16.42578125" style="3" customWidth="1"/>
    <col min="2550" max="2550" width="0" style="3" hidden="1" customWidth="1"/>
    <col min="2551" max="2551" width="18.85546875" style="3" customWidth="1"/>
    <col min="2552" max="2552" width="18.140625" style="3" customWidth="1"/>
    <col min="2553" max="2553" width="17.7109375" style="3" customWidth="1"/>
    <col min="2554" max="2554" width="18" style="3" customWidth="1"/>
    <col min="2555" max="2555" width="0" style="3" hidden="1" customWidth="1"/>
    <col min="2556" max="2556" width="17.42578125" style="3" customWidth="1"/>
    <col min="2557" max="2557" width="14.5703125" style="3" customWidth="1"/>
    <col min="2558" max="2561" width="16.85546875" style="3" customWidth="1"/>
    <col min="2562" max="2562" width="17.140625" style="3" customWidth="1"/>
    <col min="2563" max="2567" width="0" style="3" hidden="1" customWidth="1"/>
    <col min="2568" max="2568" width="13.140625" style="3" bestFit="1" customWidth="1"/>
    <col min="2569" max="2569" width="16.140625" style="3" customWidth="1"/>
    <col min="2570" max="2802" width="9.140625" style="3"/>
    <col min="2803" max="2803" width="18.85546875" style="3" customWidth="1"/>
    <col min="2804" max="2804" width="28" style="3" customWidth="1"/>
    <col min="2805" max="2805" width="16.42578125" style="3" customWidth="1"/>
    <col min="2806" max="2806" width="0" style="3" hidden="1" customWidth="1"/>
    <col min="2807" max="2807" width="18.85546875" style="3" customWidth="1"/>
    <col min="2808" max="2808" width="18.140625" style="3" customWidth="1"/>
    <col min="2809" max="2809" width="17.7109375" style="3" customWidth="1"/>
    <col min="2810" max="2810" width="18" style="3" customWidth="1"/>
    <col min="2811" max="2811" width="0" style="3" hidden="1" customWidth="1"/>
    <col min="2812" max="2812" width="17.42578125" style="3" customWidth="1"/>
    <col min="2813" max="2813" width="14.5703125" style="3" customWidth="1"/>
    <col min="2814" max="2817" width="16.85546875" style="3" customWidth="1"/>
    <col min="2818" max="2818" width="17.140625" style="3" customWidth="1"/>
    <col min="2819" max="2823" width="0" style="3" hidden="1" customWidth="1"/>
    <col min="2824" max="2824" width="13.140625" style="3" bestFit="1" customWidth="1"/>
    <col min="2825" max="2825" width="16.140625" style="3" customWidth="1"/>
    <col min="2826" max="3058" width="9.140625" style="3"/>
    <col min="3059" max="3059" width="18.85546875" style="3" customWidth="1"/>
    <col min="3060" max="3060" width="28" style="3" customWidth="1"/>
    <col min="3061" max="3061" width="16.42578125" style="3" customWidth="1"/>
    <col min="3062" max="3062" width="0" style="3" hidden="1" customWidth="1"/>
    <col min="3063" max="3063" width="18.85546875" style="3" customWidth="1"/>
    <col min="3064" max="3064" width="18.140625" style="3" customWidth="1"/>
    <col min="3065" max="3065" width="17.7109375" style="3" customWidth="1"/>
    <col min="3066" max="3066" width="18" style="3" customWidth="1"/>
    <col min="3067" max="3067" width="0" style="3" hidden="1" customWidth="1"/>
    <col min="3068" max="3068" width="17.42578125" style="3" customWidth="1"/>
    <col min="3069" max="3069" width="14.5703125" style="3" customWidth="1"/>
    <col min="3070" max="3073" width="16.85546875" style="3" customWidth="1"/>
    <col min="3074" max="3074" width="17.140625" style="3" customWidth="1"/>
    <col min="3075" max="3079" width="0" style="3" hidden="1" customWidth="1"/>
    <col min="3080" max="3080" width="13.140625" style="3" bestFit="1" customWidth="1"/>
    <col min="3081" max="3081" width="16.140625" style="3" customWidth="1"/>
    <col min="3082" max="3314" width="9.140625" style="3"/>
    <col min="3315" max="3315" width="18.85546875" style="3" customWidth="1"/>
    <col min="3316" max="3316" width="28" style="3" customWidth="1"/>
    <col min="3317" max="3317" width="16.42578125" style="3" customWidth="1"/>
    <col min="3318" max="3318" width="0" style="3" hidden="1" customWidth="1"/>
    <col min="3319" max="3319" width="18.85546875" style="3" customWidth="1"/>
    <col min="3320" max="3320" width="18.140625" style="3" customWidth="1"/>
    <col min="3321" max="3321" width="17.7109375" style="3" customWidth="1"/>
    <col min="3322" max="3322" width="18" style="3" customWidth="1"/>
    <col min="3323" max="3323" width="0" style="3" hidden="1" customWidth="1"/>
    <col min="3324" max="3324" width="17.42578125" style="3" customWidth="1"/>
    <col min="3325" max="3325" width="14.5703125" style="3" customWidth="1"/>
    <col min="3326" max="3329" width="16.85546875" style="3" customWidth="1"/>
    <col min="3330" max="3330" width="17.140625" style="3" customWidth="1"/>
    <col min="3331" max="3335" width="0" style="3" hidden="1" customWidth="1"/>
    <col min="3336" max="3336" width="13.140625" style="3" bestFit="1" customWidth="1"/>
    <col min="3337" max="3337" width="16.140625" style="3" customWidth="1"/>
    <col min="3338" max="3570" width="9.140625" style="3"/>
    <col min="3571" max="3571" width="18.85546875" style="3" customWidth="1"/>
    <col min="3572" max="3572" width="28" style="3" customWidth="1"/>
    <col min="3573" max="3573" width="16.42578125" style="3" customWidth="1"/>
    <col min="3574" max="3574" width="0" style="3" hidden="1" customWidth="1"/>
    <col min="3575" max="3575" width="18.85546875" style="3" customWidth="1"/>
    <col min="3576" max="3576" width="18.140625" style="3" customWidth="1"/>
    <col min="3577" max="3577" width="17.7109375" style="3" customWidth="1"/>
    <col min="3578" max="3578" width="18" style="3" customWidth="1"/>
    <col min="3579" max="3579" width="0" style="3" hidden="1" customWidth="1"/>
    <col min="3580" max="3580" width="17.42578125" style="3" customWidth="1"/>
    <col min="3581" max="3581" width="14.5703125" style="3" customWidth="1"/>
    <col min="3582" max="3585" width="16.85546875" style="3" customWidth="1"/>
    <col min="3586" max="3586" width="17.140625" style="3" customWidth="1"/>
    <col min="3587" max="3591" width="0" style="3" hidden="1" customWidth="1"/>
    <col min="3592" max="3592" width="13.140625" style="3" bestFit="1" customWidth="1"/>
    <col min="3593" max="3593" width="16.140625" style="3" customWidth="1"/>
    <col min="3594" max="3826" width="9.140625" style="3"/>
    <col min="3827" max="3827" width="18.85546875" style="3" customWidth="1"/>
    <col min="3828" max="3828" width="28" style="3" customWidth="1"/>
    <col min="3829" max="3829" width="16.42578125" style="3" customWidth="1"/>
    <col min="3830" max="3830" width="0" style="3" hidden="1" customWidth="1"/>
    <col min="3831" max="3831" width="18.85546875" style="3" customWidth="1"/>
    <col min="3832" max="3832" width="18.140625" style="3" customWidth="1"/>
    <col min="3833" max="3833" width="17.7109375" style="3" customWidth="1"/>
    <col min="3834" max="3834" width="18" style="3" customWidth="1"/>
    <col min="3835" max="3835" width="0" style="3" hidden="1" customWidth="1"/>
    <col min="3836" max="3836" width="17.42578125" style="3" customWidth="1"/>
    <col min="3837" max="3837" width="14.5703125" style="3" customWidth="1"/>
    <col min="3838" max="3841" width="16.85546875" style="3" customWidth="1"/>
    <col min="3842" max="3842" width="17.140625" style="3" customWidth="1"/>
    <col min="3843" max="3847" width="0" style="3" hidden="1" customWidth="1"/>
    <col min="3848" max="3848" width="13.140625" style="3" bestFit="1" customWidth="1"/>
    <col min="3849" max="3849" width="16.140625" style="3" customWidth="1"/>
    <col min="3850" max="4082" width="9.140625" style="3"/>
    <col min="4083" max="4083" width="18.85546875" style="3" customWidth="1"/>
    <col min="4084" max="4084" width="28" style="3" customWidth="1"/>
    <col min="4085" max="4085" width="16.42578125" style="3" customWidth="1"/>
    <col min="4086" max="4086" width="0" style="3" hidden="1" customWidth="1"/>
    <col min="4087" max="4087" width="18.85546875" style="3" customWidth="1"/>
    <col min="4088" max="4088" width="18.140625" style="3" customWidth="1"/>
    <col min="4089" max="4089" width="17.7109375" style="3" customWidth="1"/>
    <col min="4090" max="4090" width="18" style="3" customWidth="1"/>
    <col min="4091" max="4091" width="0" style="3" hidden="1" customWidth="1"/>
    <col min="4092" max="4092" width="17.42578125" style="3" customWidth="1"/>
    <col min="4093" max="4093" width="14.5703125" style="3" customWidth="1"/>
    <col min="4094" max="4097" width="16.85546875" style="3" customWidth="1"/>
    <col min="4098" max="4098" width="17.140625" style="3" customWidth="1"/>
    <col min="4099" max="4103" width="0" style="3" hidden="1" customWidth="1"/>
    <col min="4104" max="4104" width="13.140625" style="3" bestFit="1" customWidth="1"/>
    <col min="4105" max="4105" width="16.140625" style="3" customWidth="1"/>
    <col min="4106" max="4338" width="9.140625" style="3"/>
    <col min="4339" max="4339" width="18.85546875" style="3" customWidth="1"/>
    <col min="4340" max="4340" width="28" style="3" customWidth="1"/>
    <col min="4341" max="4341" width="16.42578125" style="3" customWidth="1"/>
    <col min="4342" max="4342" width="0" style="3" hidden="1" customWidth="1"/>
    <col min="4343" max="4343" width="18.85546875" style="3" customWidth="1"/>
    <col min="4344" max="4344" width="18.140625" style="3" customWidth="1"/>
    <col min="4345" max="4345" width="17.7109375" style="3" customWidth="1"/>
    <col min="4346" max="4346" width="18" style="3" customWidth="1"/>
    <col min="4347" max="4347" width="0" style="3" hidden="1" customWidth="1"/>
    <col min="4348" max="4348" width="17.42578125" style="3" customWidth="1"/>
    <col min="4349" max="4349" width="14.5703125" style="3" customWidth="1"/>
    <col min="4350" max="4353" width="16.85546875" style="3" customWidth="1"/>
    <col min="4354" max="4354" width="17.140625" style="3" customWidth="1"/>
    <col min="4355" max="4359" width="0" style="3" hidden="1" customWidth="1"/>
    <col min="4360" max="4360" width="13.140625" style="3" bestFit="1" customWidth="1"/>
    <col min="4361" max="4361" width="16.140625" style="3" customWidth="1"/>
    <col min="4362" max="4594" width="9.140625" style="3"/>
    <col min="4595" max="4595" width="18.85546875" style="3" customWidth="1"/>
    <col min="4596" max="4596" width="28" style="3" customWidth="1"/>
    <col min="4597" max="4597" width="16.42578125" style="3" customWidth="1"/>
    <col min="4598" max="4598" width="0" style="3" hidden="1" customWidth="1"/>
    <col min="4599" max="4599" width="18.85546875" style="3" customWidth="1"/>
    <col min="4600" max="4600" width="18.140625" style="3" customWidth="1"/>
    <col min="4601" max="4601" width="17.7109375" style="3" customWidth="1"/>
    <col min="4602" max="4602" width="18" style="3" customWidth="1"/>
    <col min="4603" max="4603" width="0" style="3" hidden="1" customWidth="1"/>
    <col min="4604" max="4604" width="17.42578125" style="3" customWidth="1"/>
    <col min="4605" max="4605" width="14.5703125" style="3" customWidth="1"/>
    <col min="4606" max="4609" width="16.85546875" style="3" customWidth="1"/>
    <col min="4610" max="4610" width="17.140625" style="3" customWidth="1"/>
    <col min="4611" max="4615" width="0" style="3" hidden="1" customWidth="1"/>
    <col min="4616" max="4616" width="13.140625" style="3" bestFit="1" customWidth="1"/>
    <col min="4617" max="4617" width="16.140625" style="3" customWidth="1"/>
    <col min="4618" max="4850" width="9.140625" style="3"/>
    <col min="4851" max="4851" width="18.85546875" style="3" customWidth="1"/>
    <col min="4852" max="4852" width="28" style="3" customWidth="1"/>
    <col min="4853" max="4853" width="16.42578125" style="3" customWidth="1"/>
    <col min="4854" max="4854" width="0" style="3" hidden="1" customWidth="1"/>
    <col min="4855" max="4855" width="18.85546875" style="3" customWidth="1"/>
    <col min="4856" max="4856" width="18.140625" style="3" customWidth="1"/>
    <col min="4857" max="4857" width="17.7109375" style="3" customWidth="1"/>
    <col min="4858" max="4858" width="18" style="3" customWidth="1"/>
    <col min="4859" max="4859" width="0" style="3" hidden="1" customWidth="1"/>
    <col min="4860" max="4860" width="17.42578125" style="3" customWidth="1"/>
    <col min="4861" max="4861" width="14.5703125" style="3" customWidth="1"/>
    <col min="4862" max="4865" width="16.85546875" style="3" customWidth="1"/>
    <col min="4866" max="4866" width="17.140625" style="3" customWidth="1"/>
    <col min="4867" max="4871" width="0" style="3" hidden="1" customWidth="1"/>
    <col min="4872" max="4872" width="13.140625" style="3" bestFit="1" customWidth="1"/>
    <col min="4873" max="4873" width="16.140625" style="3" customWidth="1"/>
    <col min="4874" max="5106" width="9.140625" style="3"/>
    <col min="5107" max="5107" width="18.85546875" style="3" customWidth="1"/>
    <col min="5108" max="5108" width="28" style="3" customWidth="1"/>
    <col min="5109" max="5109" width="16.42578125" style="3" customWidth="1"/>
    <col min="5110" max="5110" width="0" style="3" hidden="1" customWidth="1"/>
    <col min="5111" max="5111" width="18.85546875" style="3" customWidth="1"/>
    <col min="5112" max="5112" width="18.140625" style="3" customWidth="1"/>
    <col min="5113" max="5113" width="17.7109375" style="3" customWidth="1"/>
    <col min="5114" max="5114" width="18" style="3" customWidth="1"/>
    <col min="5115" max="5115" width="0" style="3" hidden="1" customWidth="1"/>
    <col min="5116" max="5116" width="17.42578125" style="3" customWidth="1"/>
    <col min="5117" max="5117" width="14.5703125" style="3" customWidth="1"/>
    <col min="5118" max="5121" width="16.85546875" style="3" customWidth="1"/>
    <col min="5122" max="5122" width="17.140625" style="3" customWidth="1"/>
    <col min="5123" max="5127" width="0" style="3" hidden="1" customWidth="1"/>
    <col min="5128" max="5128" width="13.140625" style="3" bestFit="1" customWidth="1"/>
    <col min="5129" max="5129" width="16.140625" style="3" customWidth="1"/>
    <col min="5130" max="5362" width="9.140625" style="3"/>
    <col min="5363" max="5363" width="18.85546875" style="3" customWidth="1"/>
    <col min="5364" max="5364" width="28" style="3" customWidth="1"/>
    <col min="5365" max="5365" width="16.42578125" style="3" customWidth="1"/>
    <col min="5366" max="5366" width="0" style="3" hidden="1" customWidth="1"/>
    <col min="5367" max="5367" width="18.85546875" style="3" customWidth="1"/>
    <col min="5368" max="5368" width="18.140625" style="3" customWidth="1"/>
    <col min="5369" max="5369" width="17.7109375" style="3" customWidth="1"/>
    <col min="5370" max="5370" width="18" style="3" customWidth="1"/>
    <col min="5371" max="5371" width="0" style="3" hidden="1" customWidth="1"/>
    <col min="5372" max="5372" width="17.42578125" style="3" customWidth="1"/>
    <col min="5373" max="5373" width="14.5703125" style="3" customWidth="1"/>
    <col min="5374" max="5377" width="16.85546875" style="3" customWidth="1"/>
    <col min="5378" max="5378" width="17.140625" style="3" customWidth="1"/>
    <col min="5379" max="5383" width="0" style="3" hidden="1" customWidth="1"/>
    <col min="5384" max="5384" width="13.140625" style="3" bestFit="1" customWidth="1"/>
    <col min="5385" max="5385" width="16.140625" style="3" customWidth="1"/>
    <col min="5386" max="5618" width="9.140625" style="3"/>
    <col min="5619" max="5619" width="18.85546875" style="3" customWidth="1"/>
    <col min="5620" max="5620" width="28" style="3" customWidth="1"/>
    <col min="5621" max="5621" width="16.42578125" style="3" customWidth="1"/>
    <col min="5622" max="5622" width="0" style="3" hidden="1" customWidth="1"/>
    <col min="5623" max="5623" width="18.85546875" style="3" customWidth="1"/>
    <col min="5624" max="5624" width="18.140625" style="3" customWidth="1"/>
    <col min="5625" max="5625" width="17.7109375" style="3" customWidth="1"/>
    <col min="5626" max="5626" width="18" style="3" customWidth="1"/>
    <col min="5627" max="5627" width="0" style="3" hidden="1" customWidth="1"/>
    <col min="5628" max="5628" width="17.42578125" style="3" customWidth="1"/>
    <col min="5629" max="5629" width="14.5703125" style="3" customWidth="1"/>
    <col min="5630" max="5633" width="16.85546875" style="3" customWidth="1"/>
    <col min="5634" max="5634" width="17.140625" style="3" customWidth="1"/>
    <col min="5635" max="5639" width="0" style="3" hidden="1" customWidth="1"/>
    <col min="5640" max="5640" width="13.140625" style="3" bestFit="1" customWidth="1"/>
    <col min="5641" max="5641" width="16.140625" style="3" customWidth="1"/>
    <col min="5642" max="5874" width="9.140625" style="3"/>
    <col min="5875" max="5875" width="18.85546875" style="3" customWidth="1"/>
    <col min="5876" max="5876" width="28" style="3" customWidth="1"/>
    <col min="5877" max="5877" width="16.42578125" style="3" customWidth="1"/>
    <col min="5878" max="5878" width="0" style="3" hidden="1" customWidth="1"/>
    <col min="5879" max="5879" width="18.85546875" style="3" customWidth="1"/>
    <col min="5880" max="5880" width="18.140625" style="3" customWidth="1"/>
    <col min="5881" max="5881" width="17.7109375" style="3" customWidth="1"/>
    <col min="5882" max="5882" width="18" style="3" customWidth="1"/>
    <col min="5883" max="5883" width="0" style="3" hidden="1" customWidth="1"/>
    <col min="5884" max="5884" width="17.42578125" style="3" customWidth="1"/>
    <col min="5885" max="5885" width="14.5703125" style="3" customWidth="1"/>
    <col min="5886" max="5889" width="16.85546875" style="3" customWidth="1"/>
    <col min="5890" max="5890" width="17.140625" style="3" customWidth="1"/>
    <col min="5891" max="5895" width="0" style="3" hidden="1" customWidth="1"/>
    <col min="5896" max="5896" width="13.140625" style="3" bestFit="1" customWidth="1"/>
    <col min="5897" max="5897" width="16.140625" style="3" customWidth="1"/>
    <col min="5898" max="6130" width="9.140625" style="3"/>
    <col min="6131" max="6131" width="18.85546875" style="3" customWidth="1"/>
    <col min="6132" max="6132" width="28" style="3" customWidth="1"/>
    <col min="6133" max="6133" width="16.42578125" style="3" customWidth="1"/>
    <col min="6134" max="6134" width="0" style="3" hidden="1" customWidth="1"/>
    <col min="6135" max="6135" width="18.85546875" style="3" customWidth="1"/>
    <col min="6136" max="6136" width="18.140625" style="3" customWidth="1"/>
    <col min="6137" max="6137" width="17.7109375" style="3" customWidth="1"/>
    <col min="6138" max="6138" width="18" style="3" customWidth="1"/>
    <col min="6139" max="6139" width="0" style="3" hidden="1" customWidth="1"/>
    <col min="6140" max="6140" width="17.42578125" style="3" customWidth="1"/>
    <col min="6141" max="6141" width="14.5703125" style="3" customWidth="1"/>
    <col min="6142" max="6145" width="16.85546875" style="3" customWidth="1"/>
    <col min="6146" max="6146" width="17.140625" style="3" customWidth="1"/>
    <col min="6147" max="6151" width="0" style="3" hidden="1" customWidth="1"/>
    <col min="6152" max="6152" width="13.140625" style="3" bestFit="1" customWidth="1"/>
    <col min="6153" max="6153" width="16.140625" style="3" customWidth="1"/>
    <col min="6154" max="6386" width="9.140625" style="3"/>
    <col min="6387" max="6387" width="18.85546875" style="3" customWidth="1"/>
    <col min="6388" max="6388" width="28" style="3" customWidth="1"/>
    <col min="6389" max="6389" width="16.42578125" style="3" customWidth="1"/>
    <col min="6390" max="6390" width="0" style="3" hidden="1" customWidth="1"/>
    <col min="6391" max="6391" width="18.85546875" style="3" customWidth="1"/>
    <col min="6392" max="6392" width="18.140625" style="3" customWidth="1"/>
    <col min="6393" max="6393" width="17.7109375" style="3" customWidth="1"/>
    <col min="6394" max="6394" width="18" style="3" customWidth="1"/>
    <col min="6395" max="6395" width="0" style="3" hidden="1" customWidth="1"/>
    <col min="6396" max="6396" width="17.42578125" style="3" customWidth="1"/>
    <col min="6397" max="6397" width="14.5703125" style="3" customWidth="1"/>
    <col min="6398" max="6401" width="16.85546875" style="3" customWidth="1"/>
    <col min="6402" max="6402" width="17.140625" style="3" customWidth="1"/>
    <col min="6403" max="6407" width="0" style="3" hidden="1" customWidth="1"/>
    <col min="6408" max="6408" width="13.140625" style="3" bestFit="1" customWidth="1"/>
    <col min="6409" max="6409" width="16.140625" style="3" customWidth="1"/>
    <col min="6410" max="6642" width="9.140625" style="3"/>
    <col min="6643" max="6643" width="18.85546875" style="3" customWidth="1"/>
    <col min="6644" max="6644" width="28" style="3" customWidth="1"/>
    <col min="6645" max="6645" width="16.42578125" style="3" customWidth="1"/>
    <col min="6646" max="6646" width="0" style="3" hidden="1" customWidth="1"/>
    <col min="6647" max="6647" width="18.85546875" style="3" customWidth="1"/>
    <col min="6648" max="6648" width="18.140625" style="3" customWidth="1"/>
    <col min="6649" max="6649" width="17.7109375" style="3" customWidth="1"/>
    <col min="6650" max="6650" width="18" style="3" customWidth="1"/>
    <col min="6651" max="6651" width="0" style="3" hidden="1" customWidth="1"/>
    <col min="6652" max="6652" width="17.42578125" style="3" customWidth="1"/>
    <col min="6653" max="6653" width="14.5703125" style="3" customWidth="1"/>
    <col min="6654" max="6657" width="16.85546875" style="3" customWidth="1"/>
    <col min="6658" max="6658" width="17.140625" style="3" customWidth="1"/>
    <col min="6659" max="6663" width="0" style="3" hidden="1" customWidth="1"/>
    <col min="6664" max="6664" width="13.140625" style="3" bestFit="1" customWidth="1"/>
    <col min="6665" max="6665" width="16.140625" style="3" customWidth="1"/>
    <col min="6666" max="6898" width="9.140625" style="3"/>
    <col min="6899" max="6899" width="18.85546875" style="3" customWidth="1"/>
    <col min="6900" max="6900" width="28" style="3" customWidth="1"/>
    <col min="6901" max="6901" width="16.42578125" style="3" customWidth="1"/>
    <col min="6902" max="6902" width="0" style="3" hidden="1" customWidth="1"/>
    <col min="6903" max="6903" width="18.85546875" style="3" customWidth="1"/>
    <col min="6904" max="6904" width="18.140625" style="3" customWidth="1"/>
    <col min="6905" max="6905" width="17.7109375" style="3" customWidth="1"/>
    <col min="6906" max="6906" width="18" style="3" customWidth="1"/>
    <col min="6907" max="6907" width="0" style="3" hidden="1" customWidth="1"/>
    <col min="6908" max="6908" width="17.42578125" style="3" customWidth="1"/>
    <col min="6909" max="6909" width="14.5703125" style="3" customWidth="1"/>
    <col min="6910" max="6913" width="16.85546875" style="3" customWidth="1"/>
    <col min="6914" max="6914" width="17.140625" style="3" customWidth="1"/>
    <col min="6915" max="6919" width="0" style="3" hidden="1" customWidth="1"/>
    <col min="6920" max="6920" width="13.140625" style="3" bestFit="1" customWidth="1"/>
    <col min="6921" max="6921" width="16.140625" style="3" customWidth="1"/>
    <col min="6922" max="7154" width="9.140625" style="3"/>
    <col min="7155" max="7155" width="18.85546875" style="3" customWidth="1"/>
    <col min="7156" max="7156" width="28" style="3" customWidth="1"/>
    <col min="7157" max="7157" width="16.42578125" style="3" customWidth="1"/>
    <col min="7158" max="7158" width="0" style="3" hidden="1" customWidth="1"/>
    <col min="7159" max="7159" width="18.85546875" style="3" customWidth="1"/>
    <col min="7160" max="7160" width="18.140625" style="3" customWidth="1"/>
    <col min="7161" max="7161" width="17.7109375" style="3" customWidth="1"/>
    <col min="7162" max="7162" width="18" style="3" customWidth="1"/>
    <col min="7163" max="7163" width="0" style="3" hidden="1" customWidth="1"/>
    <col min="7164" max="7164" width="17.42578125" style="3" customWidth="1"/>
    <col min="7165" max="7165" width="14.5703125" style="3" customWidth="1"/>
    <col min="7166" max="7169" width="16.85546875" style="3" customWidth="1"/>
    <col min="7170" max="7170" width="17.140625" style="3" customWidth="1"/>
    <col min="7171" max="7175" width="0" style="3" hidden="1" customWidth="1"/>
    <col min="7176" max="7176" width="13.140625" style="3" bestFit="1" customWidth="1"/>
    <col min="7177" max="7177" width="16.140625" style="3" customWidth="1"/>
    <col min="7178" max="7410" width="9.140625" style="3"/>
    <col min="7411" max="7411" width="18.85546875" style="3" customWidth="1"/>
    <col min="7412" max="7412" width="28" style="3" customWidth="1"/>
    <col min="7413" max="7413" width="16.42578125" style="3" customWidth="1"/>
    <col min="7414" max="7414" width="0" style="3" hidden="1" customWidth="1"/>
    <col min="7415" max="7415" width="18.85546875" style="3" customWidth="1"/>
    <col min="7416" max="7416" width="18.140625" style="3" customWidth="1"/>
    <col min="7417" max="7417" width="17.7109375" style="3" customWidth="1"/>
    <col min="7418" max="7418" width="18" style="3" customWidth="1"/>
    <col min="7419" max="7419" width="0" style="3" hidden="1" customWidth="1"/>
    <col min="7420" max="7420" width="17.42578125" style="3" customWidth="1"/>
    <col min="7421" max="7421" width="14.5703125" style="3" customWidth="1"/>
    <col min="7422" max="7425" width="16.85546875" style="3" customWidth="1"/>
    <col min="7426" max="7426" width="17.140625" style="3" customWidth="1"/>
    <col min="7427" max="7431" width="0" style="3" hidden="1" customWidth="1"/>
    <col min="7432" max="7432" width="13.140625" style="3" bestFit="1" customWidth="1"/>
    <col min="7433" max="7433" width="16.140625" style="3" customWidth="1"/>
    <col min="7434" max="7666" width="9.140625" style="3"/>
    <col min="7667" max="7667" width="18.85546875" style="3" customWidth="1"/>
    <col min="7668" max="7668" width="28" style="3" customWidth="1"/>
    <col min="7669" max="7669" width="16.42578125" style="3" customWidth="1"/>
    <col min="7670" max="7670" width="0" style="3" hidden="1" customWidth="1"/>
    <col min="7671" max="7671" width="18.85546875" style="3" customWidth="1"/>
    <col min="7672" max="7672" width="18.140625" style="3" customWidth="1"/>
    <col min="7673" max="7673" width="17.7109375" style="3" customWidth="1"/>
    <col min="7674" max="7674" width="18" style="3" customWidth="1"/>
    <col min="7675" max="7675" width="0" style="3" hidden="1" customWidth="1"/>
    <col min="7676" max="7676" width="17.42578125" style="3" customWidth="1"/>
    <col min="7677" max="7677" width="14.5703125" style="3" customWidth="1"/>
    <col min="7678" max="7681" width="16.85546875" style="3" customWidth="1"/>
    <col min="7682" max="7682" width="17.140625" style="3" customWidth="1"/>
    <col min="7683" max="7687" width="0" style="3" hidden="1" customWidth="1"/>
    <col min="7688" max="7688" width="13.140625" style="3" bestFit="1" customWidth="1"/>
    <col min="7689" max="7689" width="16.140625" style="3" customWidth="1"/>
    <col min="7690" max="7922" width="9.140625" style="3"/>
    <col min="7923" max="7923" width="18.85546875" style="3" customWidth="1"/>
    <col min="7924" max="7924" width="28" style="3" customWidth="1"/>
    <col min="7925" max="7925" width="16.42578125" style="3" customWidth="1"/>
    <col min="7926" max="7926" width="0" style="3" hidden="1" customWidth="1"/>
    <col min="7927" max="7927" width="18.85546875" style="3" customWidth="1"/>
    <col min="7928" max="7928" width="18.140625" style="3" customWidth="1"/>
    <col min="7929" max="7929" width="17.7109375" style="3" customWidth="1"/>
    <col min="7930" max="7930" width="18" style="3" customWidth="1"/>
    <col min="7931" max="7931" width="0" style="3" hidden="1" customWidth="1"/>
    <col min="7932" max="7932" width="17.42578125" style="3" customWidth="1"/>
    <col min="7933" max="7933" width="14.5703125" style="3" customWidth="1"/>
    <col min="7934" max="7937" width="16.85546875" style="3" customWidth="1"/>
    <col min="7938" max="7938" width="17.140625" style="3" customWidth="1"/>
    <col min="7939" max="7943" width="0" style="3" hidden="1" customWidth="1"/>
    <col min="7944" max="7944" width="13.140625" style="3" bestFit="1" customWidth="1"/>
    <col min="7945" max="7945" width="16.140625" style="3" customWidth="1"/>
    <col min="7946" max="8178" width="9.140625" style="3"/>
    <col min="8179" max="8179" width="18.85546875" style="3" customWidth="1"/>
    <col min="8180" max="8180" width="28" style="3" customWidth="1"/>
    <col min="8181" max="8181" width="16.42578125" style="3" customWidth="1"/>
    <col min="8182" max="8182" width="0" style="3" hidden="1" customWidth="1"/>
    <col min="8183" max="8183" width="18.85546875" style="3" customWidth="1"/>
    <col min="8184" max="8184" width="18.140625" style="3" customWidth="1"/>
    <col min="8185" max="8185" width="17.7109375" style="3" customWidth="1"/>
    <col min="8186" max="8186" width="18" style="3" customWidth="1"/>
    <col min="8187" max="8187" width="0" style="3" hidden="1" customWidth="1"/>
    <col min="8188" max="8188" width="17.42578125" style="3" customWidth="1"/>
    <col min="8189" max="8189" width="14.5703125" style="3" customWidth="1"/>
    <col min="8190" max="8193" width="16.85546875" style="3" customWidth="1"/>
    <col min="8194" max="8194" width="17.140625" style="3" customWidth="1"/>
    <col min="8195" max="8199" width="0" style="3" hidden="1" customWidth="1"/>
    <col min="8200" max="8200" width="13.140625" style="3" bestFit="1" customWidth="1"/>
    <col min="8201" max="8201" width="16.140625" style="3" customWidth="1"/>
    <col min="8202" max="8434" width="9.140625" style="3"/>
    <col min="8435" max="8435" width="18.85546875" style="3" customWidth="1"/>
    <col min="8436" max="8436" width="28" style="3" customWidth="1"/>
    <col min="8437" max="8437" width="16.42578125" style="3" customWidth="1"/>
    <col min="8438" max="8438" width="0" style="3" hidden="1" customWidth="1"/>
    <col min="8439" max="8439" width="18.85546875" style="3" customWidth="1"/>
    <col min="8440" max="8440" width="18.140625" style="3" customWidth="1"/>
    <col min="8441" max="8441" width="17.7109375" style="3" customWidth="1"/>
    <col min="8442" max="8442" width="18" style="3" customWidth="1"/>
    <col min="8443" max="8443" width="0" style="3" hidden="1" customWidth="1"/>
    <col min="8444" max="8444" width="17.42578125" style="3" customWidth="1"/>
    <col min="8445" max="8445" width="14.5703125" style="3" customWidth="1"/>
    <col min="8446" max="8449" width="16.85546875" style="3" customWidth="1"/>
    <col min="8450" max="8450" width="17.140625" style="3" customWidth="1"/>
    <col min="8451" max="8455" width="0" style="3" hidden="1" customWidth="1"/>
    <col min="8456" max="8456" width="13.140625" style="3" bestFit="1" customWidth="1"/>
    <col min="8457" max="8457" width="16.140625" style="3" customWidth="1"/>
    <col min="8458" max="8690" width="9.140625" style="3"/>
    <col min="8691" max="8691" width="18.85546875" style="3" customWidth="1"/>
    <col min="8692" max="8692" width="28" style="3" customWidth="1"/>
    <col min="8693" max="8693" width="16.42578125" style="3" customWidth="1"/>
    <col min="8694" max="8694" width="0" style="3" hidden="1" customWidth="1"/>
    <col min="8695" max="8695" width="18.85546875" style="3" customWidth="1"/>
    <col min="8696" max="8696" width="18.140625" style="3" customWidth="1"/>
    <col min="8697" max="8697" width="17.7109375" style="3" customWidth="1"/>
    <col min="8698" max="8698" width="18" style="3" customWidth="1"/>
    <col min="8699" max="8699" width="0" style="3" hidden="1" customWidth="1"/>
    <col min="8700" max="8700" width="17.42578125" style="3" customWidth="1"/>
    <col min="8701" max="8701" width="14.5703125" style="3" customWidth="1"/>
    <col min="8702" max="8705" width="16.85546875" style="3" customWidth="1"/>
    <col min="8706" max="8706" width="17.140625" style="3" customWidth="1"/>
    <col min="8707" max="8711" width="0" style="3" hidden="1" customWidth="1"/>
    <col min="8712" max="8712" width="13.140625" style="3" bestFit="1" customWidth="1"/>
    <col min="8713" max="8713" width="16.140625" style="3" customWidth="1"/>
    <col min="8714" max="8946" width="9.140625" style="3"/>
    <col min="8947" max="8947" width="18.85546875" style="3" customWidth="1"/>
    <col min="8948" max="8948" width="28" style="3" customWidth="1"/>
    <col min="8949" max="8949" width="16.42578125" style="3" customWidth="1"/>
    <col min="8950" max="8950" width="0" style="3" hidden="1" customWidth="1"/>
    <col min="8951" max="8951" width="18.85546875" style="3" customWidth="1"/>
    <col min="8952" max="8952" width="18.140625" style="3" customWidth="1"/>
    <col min="8953" max="8953" width="17.7109375" style="3" customWidth="1"/>
    <col min="8954" max="8954" width="18" style="3" customWidth="1"/>
    <col min="8955" max="8955" width="0" style="3" hidden="1" customWidth="1"/>
    <col min="8956" max="8956" width="17.42578125" style="3" customWidth="1"/>
    <col min="8957" max="8957" width="14.5703125" style="3" customWidth="1"/>
    <col min="8958" max="8961" width="16.85546875" style="3" customWidth="1"/>
    <col min="8962" max="8962" width="17.140625" style="3" customWidth="1"/>
    <col min="8963" max="8967" width="0" style="3" hidden="1" customWidth="1"/>
    <col min="8968" max="8968" width="13.140625" style="3" bestFit="1" customWidth="1"/>
    <col min="8969" max="8969" width="16.140625" style="3" customWidth="1"/>
    <col min="8970" max="9202" width="9.140625" style="3"/>
    <col min="9203" max="9203" width="18.85546875" style="3" customWidth="1"/>
    <col min="9204" max="9204" width="28" style="3" customWidth="1"/>
    <col min="9205" max="9205" width="16.42578125" style="3" customWidth="1"/>
    <col min="9206" max="9206" width="0" style="3" hidden="1" customWidth="1"/>
    <col min="9207" max="9207" width="18.85546875" style="3" customWidth="1"/>
    <col min="9208" max="9208" width="18.140625" style="3" customWidth="1"/>
    <col min="9209" max="9209" width="17.7109375" style="3" customWidth="1"/>
    <col min="9210" max="9210" width="18" style="3" customWidth="1"/>
    <col min="9211" max="9211" width="0" style="3" hidden="1" customWidth="1"/>
    <col min="9212" max="9212" width="17.42578125" style="3" customWidth="1"/>
    <col min="9213" max="9213" width="14.5703125" style="3" customWidth="1"/>
    <col min="9214" max="9217" width="16.85546875" style="3" customWidth="1"/>
    <col min="9218" max="9218" width="17.140625" style="3" customWidth="1"/>
    <col min="9219" max="9223" width="0" style="3" hidden="1" customWidth="1"/>
    <col min="9224" max="9224" width="13.140625" style="3" bestFit="1" customWidth="1"/>
    <col min="9225" max="9225" width="16.140625" style="3" customWidth="1"/>
    <col min="9226" max="9458" width="9.140625" style="3"/>
    <col min="9459" max="9459" width="18.85546875" style="3" customWidth="1"/>
    <col min="9460" max="9460" width="28" style="3" customWidth="1"/>
    <col min="9461" max="9461" width="16.42578125" style="3" customWidth="1"/>
    <col min="9462" max="9462" width="0" style="3" hidden="1" customWidth="1"/>
    <col min="9463" max="9463" width="18.85546875" style="3" customWidth="1"/>
    <col min="9464" max="9464" width="18.140625" style="3" customWidth="1"/>
    <col min="9465" max="9465" width="17.7109375" style="3" customWidth="1"/>
    <col min="9466" max="9466" width="18" style="3" customWidth="1"/>
    <col min="9467" max="9467" width="0" style="3" hidden="1" customWidth="1"/>
    <col min="9468" max="9468" width="17.42578125" style="3" customWidth="1"/>
    <col min="9469" max="9469" width="14.5703125" style="3" customWidth="1"/>
    <col min="9470" max="9473" width="16.85546875" style="3" customWidth="1"/>
    <col min="9474" max="9474" width="17.140625" style="3" customWidth="1"/>
    <col min="9475" max="9479" width="0" style="3" hidden="1" customWidth="1"/>
    <col min="9480" max="9480" width="13.140625" style="3" bestFit="1" customWidth="1"/>
    <col min="9481" max="9481" width="16.140625" style="3" customWidth="1"/>
    <col min="9482" max="9714" width="9.140625" style="3"/>
    <col min="9715" max="9715" width="18.85546875" style="3" customWidth="1"/>
    <col min="9716" max="9716" width="28" style="3" customWidth="1"/>
    <col min="9717" max="9717" width="16.42578125" style="3" customWidth="1"/>
    <col min="9718" max="9718" width="0" style="3" hidden="1" customWidth="1"/>
    <col min="9719" max="9719" width="18.85546875" style="3" customWidth="1"/>
    <col min="9720" max="9720" width="18.140625" style="3" customWidth="1"/>
    <col min="9721" max="9721" width="17.7109375" style="3" customWidth="1"/>
    <col min="9722" max="9722" width="18" style="3" customWidth="1"/>
    <col min="9723" max="9723" width="0" style="3" hidden="1" customWidth="1"/>
    <col min="9724" max="9724" width="17.42578125" style="3" customWidth="1"/>
    <col min="9725" max="9725" width="14.5703125" style="3" customWidth="1"/>
    <col min="9726" max="9729" width="16.85546875" style="3" customWidth="1"/>
    <col min="9730" max="9730" width="17.140625" style="3" customWidth="1"/>
    <col min="9731" max="9735" width="0" style="3" hidden="1" customWidth="1"/>
    <col min="9736" max="9736" width="13.140625" style="3" bestFit="1" customWidth="1"/>
    <col min="9737" max="9737" width="16.140625" style="3" customWidth="1"/>
    <col min="9738" max="9970" width="9.140625" style="3"/>
    <col min="9971" max="9971" width="18.85546875" style="3" customWidth="1"/>
    <col min="9972" max="9972" width="28" style="3" customWidth="1"/>
    <col min="9973" max="9973" width="16.42578125" style="3" customWidth="1"/>
    <col min="9974" max="9974" width="0" style="3" hidden="1" customWidth="1"/>
    <col min="9975" max="9975" width="18.85546875" style="3" customWidth="1"/>
    <col min="9976" max="9976" width="18.140625" style="3" customWidth="1"/>
    <col min="9977" max="9977" width="17.7109375" style="3" customWidth="1"/>
    <col min="9978" max="9978" width="18" style="3" customWidth="1"/>
    <col min="9979" max="9979" width="0" style="3" hidden="1" customWidth="1"/>
    <col min="9980" max="9980" width="17.42578125" style="3" customWidth="1"/>
    <col min="9981" max="9981" width="14.5703125" style="3" customWidth="1"/>
    <col min="9982" max="9985" width="16.85546875" style="3" customWidth="1"/>
    <col min="9986" max="9986" width="17.140625" style="3" customWidth="1"/>
    <col min="9987" max="9991" width="0" style="3" hidden="1" customWidth="1"/>
    <col min="9992" max="9992" width="13.140625" style="3" bestFit="1" customWidth="1"/>
    <col min="9993" max="9993" width="16.140625" style="3" customWidth="1"/>
    <col min="9994" max="10226" width="9.140625" style="3"/>
    <col min="10227" max="10227" width="18.85546875" style="3" customWidth="1"/>
    <col min="10228" max="10228" width="28" style="3" customWidth="1"/>
    <col min="10229" max="10229" width="16.42578125" style="3" customWidth="1"/>
    <col min="10230" max="10230" width="0" style="3" hidden="1" customWidth="1"/>
    <col min="10231" max="10231" width="18.85546875" style="3" customWidth="1"/>
    <col min="10232" max="10232" width="18.140625" style="3" customWidth="1"/>
    <col min="10233" max="10233" width="17.7109375" style="3" customWidth="1"/>
    <col min="10234" max="10234" width="18" style="3" customWidth="1"/>
    <col min="10235" max="10235" width="0" style="3" hidden="1" customWidth="1"/>
    <col min="10236" max="10236" width="17.42578125" style="3" customWidth="1"/>
    <col min="10237" max="10237" width="14.5703125" style="3" customWidth="1"/>
    <col min="10238" max="10241" width="16.85546875" style="3" customWidth="1"/>
    <col min="10242" max="10242" width="17.140625" style="3" customWidth="1"/>
    <col min="10243" max="10247" width="0" style="3" hidden="1" customWidth="1"/>
    <col min="10248" max="10248" width="13.140625" style="3" bestFit="1" customWidth="1"/>
    <col min="10249" max="10249" width="16.140625" style="3" customWidth="1"/>
    <col min="10250" max="10482" width="9.140625" style="3"/>
    <col min="10483" max="10483" width="18.85546875" style="3" customWidth="1"/>
    <col min="10484" max="10484" width="28" style="3" customWidth="1"/>
    <col min="10485" max="10485" width="16.42578125" style="3" customWidth="1"/>
    <col min="10486" max="10486" width="0" style="3" hidden="1" customWidth="1"/>
    <col min="10487" max="10487" width="18.85546875" style="3" customWidth="1"/>
    <col min="10488" max="10488" width="18.140625" style="3" customWidth="1"/>
    <col min="10489" max="10489" width="17.7109375" style="3" customWidth="1"/>
    <col min="10490" max="10490" width="18" style="3" customWidth="1"/>
    <col min="10491" max="10491" width="0" style="3" hidden="1" customWidth="1"/>
    <col min="10492" max="10492" width="17.42578125" style="3" customWidth="1"/>
    <col min="10493" max="10493" width="14.5703125" style="3" customWidth="1"/>
    <col min="10494" max="10497" width="16.85546875" style="3" customWidth="1"/>
    <col min="10498" max="10498" width="17.140625" style="3" customWidth="1"/>
    <col min="10499" max="10503" width="0" style="3" hidden="1" customWidth="1"/>
    <col min="10504" max="10504" width="13.140625" style="3" bestFit="1" customWidth="1"/>
    <col min="10505" max="10505" width="16.140625" style="3" customWidth="1"/>
    <col min="10506" max="10738" width="9.140625" style="3"/>
    <col min="10739" max="10739" width="18.85546875" style="3" customWidth="1"/>
    <col min="10740" max="10740" width="28" style="3" customWidth="1"/>
    <col min="10741" max="10741" width="16.42578125" style="3" customWidth="1"/>
    <col min="10742" max="10742" width="0" style="3" hidden="1" customWidth="1"/>
    <col min="10743" max="10743" width="18.85546875" style="3" customWidth="1"/>
    <col min="10744" max="10744" width="18.140625" style="3" customWidth="1"/>
    <col min="10745" max="10745" width="17.7109375" style="3" customWidth="1"/>
    <col min="10746" max="10746" width="18" style="3" customWidth="1"/>
    <col min="10747" max="10747" width="0" style="3" hidden="1" customWidth="1"/>
    <col min="10748" max="10748" width="17.42578125" style="3" customWidth="1"/>
    <col min="10749" max="10749" width="14.5703125" style="3" customWidth="1"/>
    <col min="10750" max="10753" width="16.85546875" style="3" customWidth="1"/>
    <col min="10754" max="10754" width="17.140625" style="3" customWidth="1"/>
    <col min="10755" max="10759" width="0" style="3" hidden="1" customWidth="1"/>
    <col min="10760" max="10760" width="13.140625" style="3" bestFit="1" customWidth="1"/>
    <col min="10761" max="10761" width="16.140625" style="3" customWidth="1"/>
    <col min="10762" max="10994" width="9.140625" style="3"/>
    <col min="10995" max="10995" width="18.85546875" style="3" customWidth="1"/>
    <col min="10996" max="10996" width="28" style="3" customWidth="1"/>
    <col min="10997" max="10997" width="16.42578125" style="3" customWidth="1"/>
    <col min="10998" max="10998" width="0" style="3" hidden="1" customWidth="1"/>
    <col min="10999" max="10999" width="18.85546875" style="3" customWidth="1"/>
    <col min="11000" max="11000" width="18.140625" style="3" customWidth="1"/>
    <col min="11001" max="11001" width="17.7109375" style="3" customWidth="1"/>
    <col min="11002" max="11002" width="18" style="3" customWidth="1"/>
    <col min="11003" max="11003" width="0" style="3" hidden="1" customWidth="1"/>
    <col min="11004" max="11004" width="17.42578125" style="3" customWidth="1"/>
    <col min="11005" max="11005" width="14.5703125" style="3" customWidth="1"/>
    <col min="11006" max="11009" width="16.85546875" style="3" customWidth="1"/>
    <col min="11010" max="11010" width="17.140625" style="3" customWidth="1"/>
    <col min="11011" max="11015" width="0" style="3" hidden="1" customWidth="1"/>
    <col min="11016" max="11016" width="13.140625" style="3" bestFit="1" customWidth="1"/>
    <col min="11017" max="11017" width="16.140625" style="3" customWidth="1"/>
    <col min="11018" max="11250" width="9.140625" style="3"/>
    <col min="11251" max="11251" width="18.85546875" style="3" customWidth="1"/>
    <col min="11252" max="11252" width="28" style="3" customWidth="1"/>
    <col min="11253" max="11253" width="16.42578125" style="3" customWidth="1"/>
    <col min="11254" max="11254" width="0" style="3" hidden="1" customWidth="1"/>
    <col min="11255" max="11255" width="18.85546875" style="3" customWidth="1"/>
    <col min="11256" max="11256" width="18.140625" style="3" customWidth="1"/>
    <col min="11257" max="11257" width="17.7109375" style="3" customWidth="1"/>
    <col min="11258" max="11258" width="18" style="3" customWidth="1"/>
    <col min="11259" max="11259" width="0" style="3" hidden="1" customWidth="1"/>
    <col min="11260" max="11260" width="17.42578125" style="3" customWidth="1"/>
    <col min="11261" max="11261" width="14.5703125" style="3" customWidth="1"/>
    <col min="11262" max="11265" width="16.85546875" style="3" customWidth="1"/>
    <col min="11266" max="11266" width="17.140625" style="3" customWidth="1"/>
    <col min="11267" max="11271" width="0" style="3" hidden="1" customWidth="1"/>
    <col min="11272" max="11272" width="13.140625" style="3" bestFit="1" customWidth="1"/>
    <col min="11273" max="11273" width="16.140625" style="3" customWidth="1"/>
    <col min="11274" max="11506" width="9.140625" style="3"/>
    <col min="11507" max="11507" width="18.85546875" style="3" customWidth="1"/>
    <col min="11508" max="11508" width="28" style="3" customWidth="1"/>
    <col min="11509" max="11509" width="16.42578125" style="3" customWidth="1"/>
    <col min="11510" max="11510" width="0" style="3" hidden="1" customWidth="1"/>
    <col min="11511" max="11511" width="18.85546875" style="3" customWidth="1"/>
    <col min="11512" max="11512" width="18.140625" style="3" customWidth="1"/>
    <col min="11513" max="11513" width="17.7109375" style="3" customWidth="1"/>
    <col min="11514" max="11514" width="18" style="3" customWidth="1"/>
    <col min="11515" max="11515" width="0" style="3" hidden="1" customWidth="1"/>
    <col min="11516" max="11516" width="17.42578125" style="3" customWidth="1"/>
    <col min="11517" max="11517" width="14.5703125" style="3" customWidth="1"/>
    <col min="11518" max="11521" width="16.85546875" style="3" customWidth="1"/>
    <col min="11522" max="11522" width="17.140625" style="3" customWidth="1"/>
    <col min="11523" max="11527" width="0" style="3" hidden="1" customWidth="1"/>
    <col min="11528" max="11528" width="13.140625" style="3" bestFit="1" customWidth="1"/>
    <col min="11529" max="11529" width="16.140625" style="3" customWidth="1"/>
    <col min="11530" max="11762" width="9.140625" style="3"/>
    <col min="11763" max="11763" width="18.85546875" style="3" customWidth="1"/>
    <col min="11764" max="11764" width="28" style="3" customWidth="1"/>
    <col min="11765" max="11765" width="16.42578125" style="3" customWidth="1"/>
    <col min="11766" max="11766" width="0" style="3" hidden="1" customWidth="1"/>
    <col min="11767" max="11767" width="18.85546875" style="3" customWidth="1"/>
    <col min="11768" max="11768" width="18.140625" style="3" customWidth="1"/>
    <col min="11769" max="11769" width="17.7109375" style="3" customWidth="1"/>
    <col min="11770" max="11770" width="18" style="3" customWidth="1"/>
    <col min="11771" max="11771" width="0" style="3" hidden="1" customWidth="1"/>
    <col min="11772" max="11772" width="17.42578125" style="3" customWidth="1"/>
    <col min="11773" max="11773" width="14.5703125" style="3" customWidth="1"/>
    <col min="11774" max="11777" width="16.85546875" style="3" customWidth="1"/>
    <col min="11778" max="11778" width="17.140625" style="3" customWidth="1"/>
    <col min="11779" max="11783" width="0" style="3" hidden="1" customWidth="1"/>
    <col min="11784" max="11784" width="13.140625" style="3" bestFit="1" customWidth="1"/>
    <col min="11785" max="11785" width="16.140625" style="3" customWidth="1"/>
    <col min="11786" max="12018" width="9.140625" style="3"/>
    <col min="12019" max="12019" width="18.85546875" style="3" customWidth="1"/>
    <col min="12020" max="12020" width="28" style="3" customWidth="1"/>
    <col min="12021" max="12021" width="16.42578125" style="3" customWidth="1"/>
    <col min="12022" max="12022" width="0" style="3" hidden="1" customWidth="1"/>
    <col min="12023" max="12023" width="18.85546875" style="3" customWidth="1"/>
    <col min="12024" max="12024" width="18.140625" style="3" customWidth="1"/>
    <col min="12025" max="12025" width="17.7109375" style="3" customWidth="1"/>
    <col min="12026" max="12026" width="18" style="3" customWidth="1"/>
    <col min="12027" max="12027" width="0" style="3" hidden="1" customWidth="1"/>
    <col min="12028" max="12028" width="17.42578125" style="3" customWidth="1"/>
    <col min="12029" max="12029" width="14.5703125" style="3" customWidth="1"/>
    <col min="12030" max="12033" width="16.85546875" style="3" customWidth="1"/>
    <col min="12034" max="12034" width="17.140625" style="3" customWidth="1"/>
    <col min="12035" max="12039" width="0" style="3" hidden="1" customWidth="1"/>
    <col min="12040" max="12040" width="13.140625" style="3" bestFit="1" customWidth="1"/>
    <col min="12041" max="12041" width="16.140625" style="3" customWidth="1"/>
    <col min="12042" max="12274" width="9.140625" style="3"/>
    <col min="12275" max="12275" width="18.85546875" style="3" customWidth="1"/>
    <col min="12276" max="12276" width="28" style="3" customWidth="1"/>
    <col min="12277" max="12277" width="16.42578125" style="3" customWidth="1"/>
    <col min="12278" max="12278" width="0" style="3" hidden="1" customWidth="1"/>
    <col min="12279" max="12279" width="18.85546875" style="3" customWidth="1"/>
    <col min="12280" max="12280" width="18.140625" style="3" customWidth="1"/>
    <col min="12281" max="12281" width="17.7109375" style="3" customWidth="1"/>
    <col min="12282" max="12282" width="18" style="3" customWidth="1"/>
    <col min="12283" max="12283" width="0" style="3" hidden="1" customWidth="1"/>
    <col min="12284" max="12284" width="17.42578125" style="3" customWidth="1"/>
    <col min="12285" max="12285" width="14.5703125" style="3" customWidth="1"/>
    <col min="12286" max="12289" width="16.85546875" style="3" customWidth="1"/>
    <col min="12290" max="12290" width="17.140625" style="3" customWidth="1"/>
    <col min="12291" max="12295" width="0" style="3" hidden="1" customWidth="1"/>
    <col min="12296" max="12296" width="13.140625" style="3" bestFit="1" customWidth="1"/>
    <col min="12297" max="12297" width="16.140625" style="3" customWidth="1"/>
    <col min="12298" max="12530" width="9.140625" style="3"/>
    <col min="12531" max="12531" width="18.85546875" style="3" customWidth="1"/>
    <col min="12532" max="12532" width="28" style="3" customWidth="1"/>
    <col min="12533" max="12533" width="16.42578125" style="3" customWidth="1"/>
    <col min="12534" max="12534" width="0" style="3" hidden="1" customWidth="1"/>
    <col min="12535" max="12535" width="18.85546875" style="3" customWidth="1"/>
    <col min="12536" max="12536" width="18.140625" style="3" customWidth="1"/>
    <col min="12537" max="12537" width="17.7109375" style="3" customWidth="1"/>
    <col min="12538" max="12538" width="18" style="3" customWidth="1"/>
    <col min="12539" max="12539" width="0" style="3" hidden="1" customWidth="1"/>
    <col min="12540" max="12540" width="17.42578125" style="3" customWidth="1"/>
    <col min="12541" max="12541" width="14.5703125" style="3" customWidth="1"/>
    <col min="12542" max="12545" width="16.85546875" style="3" customWidth="1"/>
    <col min="12546" max="12546" width="17.140625" style="3" customWidth="1"/>
    <col min="12547" max="12551" width="0" style="3" hidden="1" customWidth="1"/>
    <col min="12552" max="12552" width="13.140625" style="3" bestFit="1" customWidth="1"/>
    <col min="12553" max="12553" width="16.140625" style="3" customWidth="1"/>
    <col min="12554" max="12786" width="9.140625" style="3"/>
    <col min="12787" max="12787" width="18.85546875" style="3" customWidth="1"/>
    <col min="12788" max="12788" width="28" style="3" customWidth="1"/>
    <col min="12789" max="12789" width="16.42578125" style="3" customWidth="1"/>
    <col min="12790" max="12790" width="0" style="3" hidden="1" customWidth="1"/>
    <col min="12791" max="12791" width="18.85546875" style="3" customWidth="1"/>
    <col min="12792" max="12792" width="18.140625" style="3" customWidth="1"/>
    <col min="12793" max="12793" width="17.7109375" style="3" customWidth="1"/>
    <col min="12794" max="12794" width="18" style="3" customWidth="1"/>
    <col min="12795" max="12795" width="0" style="3" hidden="1" customWidth="1"/>
    <col min="12796" max="12796" width="17.42578125" style="3" customWidth="1"/>
    <col min="12797" max="12797" width="14.5703125" style="3" customWidth="1"/>
    <col min="12798" max="12801" width="16.85546875" style="3" customWidth="1"/>
    <col min="12802" max="12802" width="17.140625" style="3" customWidth="1"/>
    <col min="12803" max="12807" width="0" style="3" hidden="1" customWidth="1"/>
    <col min="12808" max="12808" width="13.140625" style="3" bestFit="1" customWidth="1"/>
    <col min="12809" max="12809" width="16.140625" style="3" customWidth="1"/>
    <col min="12810" max="13042" width="9.140625" style="3"/>
    <col min="13043" max="13043" width="18.85546875" style="3" customWidth="1"/>
    <col min="13044" max="13044" width="28" style="3" customWidth="1"/>
    <col min="13045" max="13045" width="16.42578125" style="3" customWidth="1"/>
    <col min="13046" max="13046" width="0" style="3" hidden="1" customWidth="1"/>
    <col min="13047" max="13047" width="18.85546875" style="3" customWidth="1"/>
    <col min="13048" max="13048" width="18.140625" style="3" customWidth="1"/>
    <col min="13049" max="13049" width="17.7109375" style="3" customWidth="1"/>
    <col min="13050" max="13050" width="18" style="3" customWidth="1"/>
    <col min="13051" max="13051" width="0" style="3" hidden="1" customWidth="1"/>
    <col min="13052" max="13052" width="17.42578125" style="3" customWidth="1"/>
    <col min="13053" max="13053" width="14.5703125" style="3" customWidth="1"/>
    <col min="13054" max="13057" width="16.85546875" style="3" customWidth="1"/>
    <col min="13058" max="13058" width="17.140625" style="3" customWidth="1"/>
    <col min="13059" max="13063" width="0" style="3" hidden="1" customWidth="1"/>
    <col min="13064" max="13064" width="13.140625" style="3" bestFit="1" customWidth="1"/>
    <col min="13065" max="13065" width="16.140625" style="3" customWidth="1"/>
    <col min="13066" max="13298" width="9.140625" style="3"/>
    <col min="13299" max="13299" width="18.85546875" style="3" customWidth="1"/>
    <col min="13300" max="13300" width="28" style="3" customWidth="1"/>
    <col min="13301" max="13301" width="16.42578125" style="3" customWidth="1"/>
    <col min="13302" max="13302" width="0" style="3" hidden="1" customWidth="1"/>
    <col min="13303" max="13303" width="18.85546875" style="3" customWidth="1"/>
    <col min="13304" max="13304" width="18.140625" style="3" customWidth="1"/>
    <col min="13305" max="13305" width="17.7109375" style="3" customWidth="1"/>
    <col min="13306" max="13306" width="18" style="3" customWidth="1"/>
    <col min="13307" max="13307" width="0" style="3" hidden="1" customWidth="1"/>
    <col min="13308" max="13308" width="17.42578125" style="3" customWidth="1"/>
    <col min="13309" max="13309" width="14.5703125" style="3" customWidth="1"/>
    <col min="13310" max="13313" width="16.85546875" style="3" customWidth="1"/>
    <col min="13314" max="13314" width="17.140625" style="3" customWidth="1"/>
    <col min="13315" max="13319" width="0" style="3" hidden="1" customWidth="1"/>
    <col min="13320" max="13320" width="13.140625" style="3" bestFit="1" customWidth="1"/>
    <col min="13321" max="13321" width="16.140625" style="3" customWidth="1"/>
    <col min="13322" max="13554" width="9.140625" style="3"/>
    <col min="13555" max="13555" width="18.85546875" style="3" customWidth="1"/>
    <col min="13556" max="13556" width="28" style="3" customWidth="1"/>
    <col min="13557" max="13557" width="16.42578125" style="3" customWidth="1"/>
    <col min="13558" max="13558" width="0" style="3" hidden="1" customWidth="1"/>
    <col min="13559" max="13559" width="18.85546875" style="3" customWidth="1"/>
    <col min="13560" max="13560" width="18.140625" style="3" customWidth="1"/>
    <col min="13561" max="13561" width="17.7109375" style="3" customWidth="1"/>
    <col min="13562" max="13562" width="18" style="3" customWidth="1"/>
    <col min="13563" max="13563" width="0" style="3" hidden="1" customWidth="1"/>
    <col min="13564" max="13564" width="17.42578125" style="3" customWidth="1"/>
    <col min="13565" max="13565" width="14.5703125" style="3" customWidth="1"/>
    <col min="13566" max="13569" width="16.85546875" style="3" customWidth="1"/>
    <col min="13570" max="13570" width="17.140625" style="3" customWidth="1"/>
    <col min="13571" max="13575" width="0" style="3" hidden="1" customWidth="1"/>
    <col min="13576" max="13576" width="13.140625" style="3" bestFit="1" customWidth="1"/>
    <col min="13577" max="13577" width="16.140625" style="3" customWidth="1"/>
    <col min="13578" max="13810" width="9.140625" style="3"/>
    <col min="13811" max="13811" width="18.85546875" style="3" customWidth="1"/>
    <col min="13812" max="13812" width="28" style="3" customWidth="1"/>
    <col min="13813" max="13813" width="16.42578125" style="3" customWidth="1"/>
    <col min="13814" max="13814" width="0" style="3" hidden="1" customWidth="1"/>
    <col min="13815" max="13815" width="18.85546875" style="3" customWidth="1"/>
    <col min="13816" max="13816" width="18.140625" style="3" customWidth="1"/>
    <col min="13817" max="13817" width="17.7109375" style="3" customWidth="1"/>
    <col min="13818" max="13818" width="18" style="3" customWidth="1"/>
    <col min="13819" max="13819" width="0" style="3" hidden="1" customWidth="1"/>
    <col min="13820" max="13820" width="17.42578125" style="3" customWidth="1"/>
    <col min="13821" max="13821" width="14.5703125" style="3" customWidth="1"/>
    <col min="13822" max="13825" width="16.85546875" style="3" customWidth="1"/>
    <col min="13826" max="13826" width="17.140625" style="3" customWidth="1"/>
    <col min="13827" max="13831" width="0" style="3" hidden="1" customWidth="1"/>
    <col min="13832" max="13832" width="13.140625" style="3" bestFit="1" customWidth="1"/>
    <col min="13833" max="13833" width="16.140625" style="3" customWidth="1"/>
    <col min="13834" max="14066" width="9.140625" style="3"/>
    <col min="14067" max="14067" width="18.85546875" style="3" customWidth="1"/>
    <col min="14068" max="14068" width="28" style="3" customWidth="1"/>
    <col min="14069" max="14069" width="16.42578125" style="3" customWidth="1"/>
    <col min="14070" max="14070" width="0" style="3" hidden="1" customWidth="1"/>
    <col min="14071" max="14071" width="18.85546875" style="3" customWidth="1"/>
    <col min="14072" max="14072" width="18.140625" style="3" customWidth="1"/>
    <col min="14073" max="14073" width="17.7109375" style="3" customWidth="1"/>
    <col min="14074" max="14074" width="18" style="3" customWidth="1"/>
    <col min="14075" max="14075" width="0" style="3" hidden="1" customWidth="1"/>
    <col min="14076" max="14076" width="17.42578125" style="3" customWidth="1"/>
    <col min="14077" max="14077" width="14.5703125" style="3" customWidth="1"/>
    <col min="14078" max="14081" width="16.85546875" style="3" customWidth="1"/>
    <col min="14082" max="14082" width="17.140625" style="3" customWidth="1"/>
    <col min="14083" max="14087" width="0" style="3" hidden="1" customWidth="1"/>
    <col min="14088" max="14088" width="13.140625" style="3" bestFit="1" customWidth="1"/>
    <col min="14089" max="14089" width="16.140625" style="3" customWidth="1"/>
    <col min="14090" max="14322" width="9.140625" style="3"/>
    <col min="14323" max="14323" width="18.85546875" style="3" customWidth="1"/>
    <col min="14324" max="14324" width="28" style="3" customWidth="1"/>
    <col min="14325" max="14325" width="16.42578125" style="3" customWidth="1"/>
    <col min="14326" max="14326" width="0" style="3" hidden="1" customWidth="1"/>
    <col min="14327" max="14327" width="18.85546875" style="3" customWidth="1"/>
    <col min="14328" max="14328" width="18.140625" style="3" customWidth="1"/>
    <col min="14329" max="14329" width="17.7109375" style="3" customWidth="1"/>
    <col min="14330" max="14330" width="18" style="3" customWidth="1"/>
    <col min="14331" max="14331" width="0" style="3" hidden="1" customWidth="1"/>
    <col min="14332" max="14332" width="17.42578125" style="3" customWidth="1"/>
    <col min="14333" max="14333" width="14.5703125" style="3" customWidth="1"/>
    <col min="14334" max="14337" width="16.85546875" style="3" customWidth="1"/>
    <col min="14338" max="14338" width="17.140625" style="3" customWidth="1"/>
    <col min="14339" max="14343" width="0" style="3" hidden="1" customWidth="1"/>
    <col min="14344" max="14344" width="13.140625" style="3" bestFit="1" customWidth="1"/>
    <col min="14345" max="14345" width="16.140625" style="3" customWidth="1"/>
    <col min="14346" max="14578" width="9.140625" style="3"/>
    <col min="14579" max="14579" width="18.85546875" style="3" customWidth="1"/>
    <col min="14580" max="14580" width="28" style="3" customWidth="1"/>
    <col min="14581" max="14581" width="16.42578125" style="3" customWidth="1"/>
    <col min="14582" max="14582" width="0" style="3" hidden="1" customWidth="1"/>
    <col min="14583" max="14583" width="18.85546875" style="3" customWidth="1"/>
    <col min="14584" max="14584" width="18.140625" style="3" customWidth="1"/>
    <col min="14585" max="14585" width="17.7109375" style="3" customWidth="1"/>
    <col min="14586" max="14586" width="18" style="3" customWidth="1"/>
    <col min="14587" max="14587" width="0" style="3" hidden="1" customWidth="1"/>
    <col min="14588" max="14588" width="17.42578125" style="3" customWidth="1"/>
    <col min="14589" max="14589" width="14.5703125" style="3" customWidth="1"/>
    <col min="14590" max="14593" width="16.85546875" style="3" customWidth="1"/>
    <col min="14594" max="14594" width="17.140625" style="3" customWidth="1"/>
    <col min="14595" max="14599" width="0" style="3" hidden="1" customWidth="1"/>
    <col min="14600" max="14600" width="13.140625" style="3" bestFit="1" customWidth="1"/>
    <col min="14601" max="14601" width="16.140625" style="3" customWidth="1"/>
    <col min="14602" max="14834" width="9.140625" style="3"/>
    <col min="14835" max="14835" width="18.85546875" style="3" customWidth="1"/>
    <col min="14836" max="14836" width="28" style="3" customWidth="1"/>
    <col min="14837" max="14837" width="16.42578125" style="3" customWidth="1"/>
    <col min="14838" max="14838" width="0" style="3" hidden="1" customWidth="1"/>
    <col min="14839" max="14839" width="18.85546875" style="3" customWidth="1"/>
    <col min="14840" max="14840" width="18.140625" style="3" customWidth="1"/>
    <col min="14841" max="14841" width="17.7109375" style="3" customWidth="1"/>
    <col min="14842" max="14842" width="18" style="3" customWidth="1"/>
    <col min="14843" max="14843" width="0" style="3" hidden="1" customWidth="1"/>
    <col min="14844" max="14844" width="17.42578125" style="3" customWidth="1"/>
    <col min="14845" max="14845" width="14.5703125" style="3" customWidth="1"/>
    <col min="14846" max="14849" width="16.85546875" style="3" customWidth="1"/>
    <col min="14850" max="14850" width="17.140625" style="3" customWidth="1"/>
    <col min="14851" max="14855" width="0" style="3" hidden="1" customWidth="1"/>
    <col min="14856" max="14856" width="13.140625" style="3" bestFit="1" customWidth="1"/>
    <col min="14857" max="14857" width="16.140625" style="3" customWidth="1"/>
    <col min="14858" max="15090" width="9.140625" style="3"/>
    <col min="15091" max="15091" width="18.85546875" style="3" customWidth="1"/>
    <col min="15092" max="15092" width="28" style="3" customWidth="1"/>
    <col min="15093" max="15093" width="16.42578125" style="3" customWidth="1"/>
    <col min="15094" max="15094" width="0" style="3" hidden="1" customWidth="1"/>
    <col min="15095" max="15095" width="18.85546875" style="3" customWidth="1"/>
    <col min="15096" max="15096" width="18.140625" style="3" customWidth="1"/>
    <col min="15097" max="15097" width="17.7109375" style="3" customWidth="1"/>
    <col min="15098" max="15098" width="18" style="3" customWidth="1"/>
    <col min="15099" max="15099" width="0" style="3" hidden="1" customWidth="1"/>
    <col min="15100" max="15100" width="17.42578125" style="3" customWidth="1"/>
    <col min="15101" max="15101" width="14.5703125" style="3" customWidth="1"/>
    <col min="15102" max="15105" width="16.85546875" style="3" customWidth="1"/>
    <col min="15106" max="15106" width="17.140625" style="3" customWidth="1"/>
    <col min="15107" max="15111" width="0" style="3" hidden="1" customWidth="1"/>
    <col min="15112" max="15112" width="13.140625" style="3" bestFit="1" customWidth="1"/>
    <col min="15113" max="15113" width="16.140625" style="3" customWidth="1"/>
    <col min="15114" max="15346" width="9.140625" style="3"/>
    <col min="15347" max="15347" width="18.85546875" style="3" customWidth="1"/>
    <col min="15348" max="15348" width="28" style="3" customWidth="1"/>
    <col min="15349" max="15349" width="16.42578125" style="3" customWidth="1"/>
    <col min="15350" max="15350" width="0" style="3" hidden="1" customWidth="1"/>
    <col min="15351" max="15351" width="18.85546875" style="3" customWidth="1"/>
    <col min="15352" max="15352" width="18.140625" style="3" customWidth="1"/>
    <col min="15353" max="15353" width="17.7109375" style="3" customWidth="1"/>
    <col min="15354" max="15354" width="18" style="3" customWidth="1"/>
    <col min="15355" max="15355" width="0" style="3" hidden="1" customWidth="1"/>
    <col min="15356" max="15356" width="17.42578125" style="3" customWidth="1"/>
    <col min="15357" max="15357" width="14.5703125" style="3" customWidth="1"/>
    <col min="15358" max="15361" width="16.85546875" style="3" customWidth="1"/>
    <col min="15362" max="15362" width="17.140625" style="3" customWidth="1"/>
    <col min="15363" max="15367" width="0" style="3" hidden="1" customWidth="1"/>
    <col min="15368" max="15368" width="13.140625" style="3" bestFit="1" customWidth="1"/>
    <col min="15369" max="15369" width="16.140625" style="3" customWidth="1"/>
    <col min="15370" max="15602" width="9.140625" style="3"/>
    <col min="15603" max="15603" width="18.85546875" style="3" customWidth="1"/>
    <col min="15604" max="15604" width="28" style="3" customWidth="1"/>
    <col min="15605" max="15605" width="16.42578125" style="3" customWidth="1"/>
    <col min="15606" max="15606" width="0" style="3" hidden="1" customWidth="1"/>
    <col min="15607" max="15607" width="18.85546875" style="3" customWidth="1"/>
    <col min="15608" max="15608" width="18.140625" style="3" customWidth="1"/>
    <col min="15609" max="15609" width="17.7109375" style="3" customWidth="1"/>
    <col min="15610" max="15610" width="18" style="3" customWidth="1"/>
    <col min="15611" max="15611" width="0" style="3" hidden="1" customWidth="1"/>
    <col min="15612" max="15612" width="17.42578125" style="3" customWidth="1"/>
    <col min="15613" max="15613" width="14.5703125" style="3" customWidth="1"/>
    <col min="15614" max="15617" width="16.85546875" style="3" customWidth="1"/>
    <col min="15618" max="15618" width="17.140625" style="3" customWidth="1"/>
    <col min="15619" max="15623" width="0" style="3" hidden="1" customWidth="1"/>
    <col min="15624" max="15624" width="13.140625" style="3" bestFit="1" customWidth="1"/>
    <col min="15625" max="15625" width="16.140625" style="3" customWidth="1"/>
    <col min="15626" max="15858" width="9.140625" style="3"/>
    <col min="15859" max="15859" width="18.85546875" style="3" customWidth="1"/>
    <col min="15860" max="15860" width="28" style="3" customWidth="1"/>
    <col min="15861" max="15861" width="16.42578125" style="3" customWidth="1"/>
    <col min="15862" max="15862" width="0" style="3" hidden="1" customWidth="1"/>
    <col min="15863" max="15863" width="18.85546875" style="3" customWidth="1"/>
    <col min="15864" max="15864" width="18.140625" style="3" customWidth="1"/>
    <col min="15865" max="15865" width="17.7109375" style="3" customWidth="1"/>
    <col min="15866" max="15866" width="18" style="3" customWidth="1"/>
    <col min="15867" max="15867" width="0" style="3" hidden="1" customWidth="1"/>
    <col min="15868" max="15868" width="17.42578125" style="3" customWidth="1"/>
    <col min="15869" max="15869" width="14.5703125" style="3" customWidth="1"/>
    <col min="15870" max="15873" width="16.85546875" style="3" customWidth="1"/>
    <col min="15874" max="15874" width="17.140625" style="3" customWidth="1"/>
    <col min="15875" max="15879" width="0" style="3" hidden="1" customWidth="1"/>
    <col min="15880" max="15880" width="13.140625" style="3" bestFit="1" customWidth="1"/>
    <col min="15881" max="15881" width="16.140625" style="3" customWidth="1"/>
    <col min="15882" max="16114" width="9.140625" style="3"/>
    <col min="16115" max="16115" width="18.85546875" style="3" customWidth="1"/>
    <col min="16116" max="16116" width="28" style="3" customWidth="1"/>
    <col min="16117" max="16117" width="16.42578125" style="3" customWidth="1"/>
    <col min="16118" max="16118" width="0" style="3" hidden="1" customWidth="1"/>
    <col min="16119" max="16119" width="18.85546875" style="3" customWidth="1"/>
    <col min="16120" max="16120" width="18.140625" style="3" customWidth="1"/>
    <col min="16121" max="16121" width="17.7109375" style="3" customWidth="1"/>
    <col min="16122" max="16122" width="18" style="3" customWidth="1"/>
    <col min="16123" max="16123" width="0" style="3" hidden="1" customWidth="1"/>
    <col min="16124" max="16124" width="17.42578125" style="3" customWidth="1"/>
    <col min="16125" max="16125" width="14.5703125" style="3" customWidth="1"/>
    <col min="16126" max="16129" width="16.85546875" style="3" customWidth="1"/>
    <col min="16130" max="16130" width="17.140625" style="3" customWidth="1"/>
    <col min="16131" max="16135" width="0" style="3" hidden="1" customWidth="1"/>
    <col min="16136" max="16136" width="13.140625" style="3" bestFit="1" customWidth="1"/>
    <col min="16137" max="16137" width="16.140625" style="3" customWidth="1"/>
    <col min="16138" max="16384" width="9.140625" style="3"/>
  </cols>
  <sheetData>
    <row r="1" spans="1:16" s="30" customFormat="1" ht="18.75" customHeight="1" x14ac:dyDescent="0.3">
      <c r="A1" s="251" t="s">
        <v>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s="30" customFormat="1" ht="18.75" x14ac:dyDescent="0.3">
      <c r="A2" s="251" t="s">
        <v>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s="30" customFormat="1" ht="18.75" x14ac:dyDescent="0.3">
      <c r="A3" s="251" t="s">
        <v>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s="30" customFormat="1" ht="15" customHeight="1" thickBot="1" x14ac:dyDescent="0.3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75" customHeight="1" x14ac:dyDescent="0.25">
      <c r="A5" s="252" t="s">
        <v>0</v>
      </c>
      <c r="B5" s="255" t="s">
        <v>8</v>
      </c>
      <c r="C5" s="257" t="s">
        <v>9</v>
      </c>
      <c r="D5" s="257"/>
      <c r="E5" s="257"/>
      <c r="F5" s="257"/>
      <c r="G5" s="257"/>
      <c r="H5" s="257" t="s">
        <v>56</v>
      </c>
      <c r="I5" s="257"/>
      <c r="J5" s="257"/>
      <c r="K5" s="257"/>
      <c r="L5" s="257"/>
      <c r="M5" s="262" t="s">
        <v>55</v>
      </c>
      <c r="N5" s="262"/>
      <c r="O5" s="262"/>
      <c r="P5" s="263"/>
    </row>
    <row r="6" spans="1:16" ht="78.75" x14ac:dyDescent="0.25">
      <c r="A6" s="253"/>
      <c r="B6" s="256"/>
      <c r="C6" s="4" t="s">
        <v>13</v>
      </c>
      <c r="D6" s="5" t="s">
        <v>14</v>
      </c>
      <c r="E6" s="264" t="s">
        <v>15</v>
      </c>
      <c r="F6" s="266" t="s">
        <v>16</v>
      </c>
      <c r="G6" s="267" t="s">
        <v>17</v>
      </c>
      <c r="H6" s="4" t="s">
        <v>18</v>
      </c>
      <c r="I6" s="5" t="s">
        <v>14</v>
      </c>
      <c r="J6" s="264" t="s">
        <v>15</v>
      </c>
      <c r="K6" s="266" t="s">
        <v>16</v>
      </c>
      <c r="L6" s="267" t="s">
        <v>17</v>
      </c>
      <c r="M6" s="4" t="s">
        <v>102</v>
      </c>
      <c r="N6" s="2" t="s">
        <v>10</v>
      </c>
      <c r="O6" s="2" t="s">
        <v>11</v>
      </c>
      <c r="P6" s="95" t="s">
        <v>12</v>
      </c>
    </row>
    <row r="7" spans="1:16" ht="16.5" thickBot="1" x14ac:dyDescent="0.3">
      <c r="A7" s="254"/>
      <c r="B7" s="256"/>
      <c r="C7" s="2" t="s">
        <v>19</v>
      </c>
      <c r="D7" s="105" t="s">
        <v>19</v>
      </c>
      <c r="E7" s="265"/>
      <c r="F7" s="256"/>
      <c r="G7" s="268"/>
      <c r="H7" s="2" t="s">
        <v>19</v>
      </c>
      <c r="I7" s="105" t="s">
        <v>19</v>
      </c>
      <c r="J7" s="265"/>
      <c r="K7" s="256"/>
      <c r="L7" s="268"/>
      <c r="M7" s="2" t="s">
        <v>19</v>
      </c>
      <c r="N7" s="66"/>
      <c r="O7" s="66"/>
      <c r="P7" s="106"/>
    </row>
    <row r="8" spans="1:16" ht="16.5" thickBot="1" x14ac:dyDescent="0.3">
      <c r="A8" s="259" t="s">
        <v>20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</row>
    <row r="9" spans="1:16" x14ac:dyDescent="0.25">
      <c r="A9" s="107" t="s">
        <v>21</v>
      </c>
      <c r="B9" s="6" t="s">
        <v>22</v>
      </c>
      <c r="C9" s="7">
        <v>700</v>
      </c>
      <c r="D9" s="8"/>
      <c r="E9" s="9">
        <v>1.8409199999999999</v>
      </c>
      <c r="F9" s="10">
        <v>1288.6400000000001</v>
      </c>
      <c r="G9" s="23">
        <v>1520.6</v>
      </c>
      <c r="H9" s="7">
        <v>1461551</v>
      </c>
      <c r="I9" s="8"/>
      <c r="J9" s="9">
        <v>1.73075</v>
      </c>
      <c r="K9" s="11">
        <f>J9*H9</f>
        <v>2529579.3932500002</v>
      </c>
      <c r="L9" s="23">
        <f>2984903.68</f>
        <v>2984903.68</v>
      </c>
      <c r="M9" s="108">
        <f>C9+H9</f>
        <v>1462251</v>
      </c>
      <c r="N9" s="109">
        <f>F9+K9</f>
        <v>2530868.0332500003</v>
      </c>
      <c r="O9" s="109">
        <f>P9-N9</f>
        <v>455556.24674999993</v>
      </c>
      <c r="P9" s="101">
        <f>L9+G9</f>
        <v>2986424.2800000003</v>
      </c>
    </row>
    <row r="10" spans="1:16" x14ac:dyDescent="0.25">
      <c r="A10" s="97" t="s">
        <v>23</v>
      </c>
      <c r="B10" s="14" t="s">
        <v>24</v>
      </c>
      <c r="C10" s="7">
        <v>700</v>
      </c>
      <c r="D10" s="98"/>
      <c r="E10" s="15">
        <v>1.782</v>
      </c>
      <c r="F10" s="11">
        <f>E10*C10</f>
        <v>1247.4000000000001</v>
      </c>
      <c r="G10" s="23">
        <v>1471.93</v>
      </c>
      <c r="H10" s="7">
        <v>643912</v>
      </c>
      <c r="I10" s="99"/>
      <c r="J10" s="15">
        <v>1.66185</v>
      </c>
      <c r="K10" s="11">
        <f>J10*H10</f>
        <v>1070085.1572</v>
      </c>
      <c r="L10" s="23">
        <v>1262700.49</v>
      </c>
      <c r="M10" s="12">
        <f>C10+H10</f>
        <v>644612</v>
      </c>
      <c r="N10" s="13">
        <f>F10+K10</f>
        <v>1071332.5571999999</v>
      </c>
      <c r="O10" s="13">
        <f>P10-N10</f>
        <v>192839.8628</v>
      </c>
      <c r="P10" s="96">
        <f>L10+G10</f>
        <v>1264172.42</v>
      </c>
    </row>
    <row r="11" spans="1:16" ht="16.5" thickBot="1" x14ac:dyDescent="0.3">
      <c r="A11" s="110" t="s">
        <v>25</v>
      </c>
      <c r="B11" s="111" t="s">
        <v>26</v>
      </c>
      <c r="C11" s="112">
        <v>700</v>
      </c>
      <c r="D11" s="113"/>
      <c r="E11" s="114">
        <v>1.84809</v>
      </c>
      <c r="F11" s="115">
        <f>E11*C11</f>
        <v>1293.663</v>
      </c>
      <c r="G11" s="116">
        <v>1526.52</v>
      </c>
      <c r="H11" s="112">
        <v>1558606</v>
      </c>
      <c r="I11" s="117"/>
      <c r="J11" s="114">
        <v>1.7389699999999999</v>
      </c>
      <c r="K11" s="115">
        <f>J11*H11</f>
        <v>2710369.0758199999</v>
      </c>
      <c r="L11" s="116">
        <v>3198235.51</v>
      </c>
      <c r="M11" s="118">
        <f>C11+H11</f>
        <v>1559306</v>
      </c>
      <c r="N11" s="119">
        <f>F11+K11</f>
        <v>2711662.7388200001</v>
      </c>
      <c r="O11" s="119">
        <f>P11-N11</f>
        <v>488099.29117999971</v>
      </c>
      <c r="P11" s="120">
        <f>L11+G11</f>
        <v>3199762.03</v>
      </c>
    </row>
    <row r="12" spans="1:16" s="30" customFormat="1" ht="16.5" thickBot="1" x14ac:dyDescent="0.3">
      <c r="A12" s="130" t="s">
        <v>45</v>
      </c>
      <c r="B12" s="131"/>
      <c r="C12" s="132">
        <f>SUM(C9:C11)</f>
        <v>2100</v>
      </c>
      <c r="D12" s="132" t="e">
        <f>#REF!+D10+D11</f>
        <v>#REF!</v>
      </c>
      <c r="E12" s="132"/>
      <c r="F12" s="133">
        <f>SUM(F9:F11)</f>
        <v>3829.703</v>
      </c>
      <c r="G12" s="133">
        <f>SUM(G9:G11)</f>
        <v>4519.0499999999993</v>
      </c>
      <c r="H12" s="132">
        <f>SUM(H9:H11)</f>
        <v>3664069</v>
      </c>
      <c r="I12" s="132" t="e">
        <f>#REF!+I10+I11</f>
        <v>#REF!</v>
      </c>
      <c r="J12" s="132"/>
      <c r="K12" s="133">
        <f t="shared" ref="K12:P12" si="0">SUM(K9:K11)</f>
        <v>6310033.6262699999</v>
      </c>
      <c r="L12" s="133">
        <f t="shared" si="0"/>
        <v>7445839.6799999997</v>
      </c>
      <c r="M12" s="132">
        <f t="shared" si="0"/>
        <v>3666169</v>
      </c>
      <c r="N12" s="133">
        <f t="shared" si="0"/>
        <v>6313863.3292699996</v>
      </c>
      <c r="O12" s="133">
        <f t="shared" si="0"/>
        <v>1136495.4007299996</v>
      </c>
      <c r="P12" s="134">
        <f t="shared" si="0"/>
        <v>7450358.7300000004</v>
      </c>
    </row>
    <row r="13" spans="1:16" x14ac:dyDescent="0.25">
      <c r="A13" s="97" t="s">
        <v>27</v>
      </c>
      <c r="B13" s="14" t="s">
        <v>28</v>
      </c>
      <c r="C13" s="7">
        <v>600</v>
      </c>
      <c r="D13" s="122"/>
      <c r="E13" s="15">
        <v>1.80796</v>
      </c>
      <c r="F13" s="11">
        <f t="shared" ref="F13:F24" si="1">E13*C13</f>
        <v>1084.7760000000001</v>
      </c>
      <c r="G13" s="23">
        <v>1280.04</v>
      </c>
      <c r="H13" s="7">
        <v>559139</v>
      </c>
      <c r="I13" s="123"/>
      <c r="J13" s="15">
        <v>1.6921299999999999</v>
      </c>
      <c r="K13" s="11">
        <v>946135.88</v>
      </c>
      <c r="L13" s="23">
        <v>1116440.3400000001</v>
      </c>
      <c r="M13" s="108">
        <f>C13+H13</f>
        <v>559739</v>
      </c>
      <c r="N13" s="109">
        <f>F13+K13</f>
        <v>947220.65599999996</v>
      </c>
      <c r="O13" s="109">
        <f>P13-N13</f>
        <v>170499.72400000016</v>
      </c>
      <c r="P13" s="101">
        <f>L13+G13</f>
        <v>1117720.3800000001</v>
      </c>
    </row>
    <row r="14" spans="1:16" x14ac:dyDescent="0.25">
      <c r="A14" s="100" t="s">
        <v>1</v>
      </c>
      <c r="B14" s="14" t="s">
        <v>29</v>
      </c>
      <c r="C14" s="7">
        <v>500</v>
      </c>
      <c r="D14" s="16"/>
      <c r="E14" s="15">
        <v>1.8459099999999999</v>
      </c>
      <c r="F14" s="11">
        <f t="shared" si="1"/>
        <v>922.95499999999993</v>
      </c>
      <c r="G14" s="24">
        <f t="shared" ref="G14:G24" si="2">F14*1.18</f>
        <v>1089.0868999999998</v>
      </c>
      <c r="H14" s="7">
        <v>684757</v>
      </c>
      <c r="I14" s="17"/>
      <c r="J14" s="15">
        <v>1.7363299999999999</v>
      </c>
      <c r="K14" s="11">
        <f t="shared" ref="K14:K20" si="3">J14*H14</f>
        <v>1188964.1218099999</v>
      </c>
      <c r="L14" s="24">
        <v>1402977.66</v>
      </c>
      <c r="M14" s="12">
        <f>C14+H14</f>
        <v>685257</v>
      </c>
      <c r="N14" s="13">
        <f>F14+K14</f>
        <v>1189887.07681</v>
      </c>
      <c r="O14" s="13">
        <f>P14-N14</f>
        <v>214179.67008999991</v>
      </c>
      <c r="P14" s="96">
        <f>L14+G14</f>
        <v>1404066.7468999999</v>
      </c>
    </row>
    <row r="15" spans="1:16" ht="16.5" thickBot="1" x14ac:dyDescent="0.3">
      <c r="A15" s="110" t="s">
        <v>30</v>
      </c>
      <c r="B15" s="111" t="s">
        <v>31</v>
      </c>
      <c r="C15" s="112">
        <v>600</v>
      </c>
      <c r="D15" s="113"/>
      <c r="E15" s="114">
        <v>1.8310299999999999</v>
      </c>
      <c r="F15" s="115">
        <f t="shared" si="1"/>
        <v>1098.6179999999999</v>
      </c>
      <c r="G15" s="116">
        <v>1296.3699999999999</v>
      </c>
      <c r="H15" s="112">
        <v>547075</v>
      </c>
      <c r="I15" s="117"/>
      <c r="J15" s="114">
        <v>1.7190300000000001</v>
      </c>
      <c r="K15" s="115">
        <f t="shared" si="3"/>
        <v>940438.33724999998</v>
      </c>
      <c r="L15" s="116">
        <v>1109717.24</v>
      </c>
      <c r="M15" s="118">
        <f>C15+H15</f>
        <v>547675</v>
      </c>
      <c r="N15" s="119">
        <f>F15+K15</f>
        <v>941536.95525</v>
      </c>
      <c r="O15" s="119">
        <f>P15-N15</f>
        <v>169476.6547500001</v>
      </c>
      <c r="P15" s="120">
        <f>L15+G15</f>
        <v>1111013.6100000001</v>
      </c>
    </row>
    <row r="16" spans="1:16" s="30" customFormat="1" ht="16.5" thickBot="1" x14ac:dyDescent="0.3">
      <c r="A16" s="130" t="s">
        <v>46</v>
      </c>
      <c r="B16" s="131"/>
      <c r="C16" s="132">
        <f>SUM(C13:C15)</f>
        <v>1700</v>
      </c>
      <c r="D16" s="132">
        <f t="shared" ref="D16:L16" si="4">SUM(D13:D15)</f>
        <v>0</v>
      </c>
      <c r="E16" s="132"/>
      <c r="F16" s="133">
        <f t="shared" si="4"/>
        <v>3106.3490000000002</v>
      </c>
      <c r="G16" s="133">
        <f t="shared" si="4"/>
        <v>3665.4968999999996</v>
      </c>
      <c r="H16" s="132">
        <f t="shared" si="4"/>
        <v>1790971</v>
      </c>
      <c r="I16" s="132">
        <f t="shared" si="4"/>
        <v>0</v>
      </c>
      <c r="J16" s="132"/>
      <c r="K16" s="133">
        <f t="shared" si="4"/>
        <v>3075538.3390599997</v>
      </c>
      <c r="L16" s="133">
        <f t="shared" si="4"/>
        <v>3629135.24</v>
      </c>
      <c r="M16" s="132">
        <f>SUM(M13:M15)</f>
        <v>1792671</v>
      </c>
      <c r="N16" s="133">
        <f>SUM(N13:N15)</f>
        <v>3078644.6880600001</v>
      </c>
      <c r="O16" s="133">
        <f>SUM(O13:O15)</f>
        <v>554156.04884000018</v>
      </c>
      <c r="P16" s="134">
        <f>SUM(P13:P15)</f>
        <v>3632800.7368999999</v>
      </c>
    </row>
    <row r="17" spans="1:16" s="1" customFormat="1" x14ac:dyDescent="0.25">
      <c r="A17" s="97" t="s">
        <v>2</v>
      </c>
      <c r="B17" s="43" t="s">
        <v>32</v>
      </c>
      <c r="C17" s="44">
        <v>400</v>
      </c>
      <c r="D17" s="124"/>
      <c r="E17" s="45">
        <v>1.7866599999999999</v>
      </c>
      <c r="F17" s="11">
        <f t="shared" si="1"/>
        <v>714.66399999999999</v>
      </c>
      <c r="G17" s="23">
        <f t="shared" si="2"/>
        <v>843.30351999999993</v>
      </c>
      <c r="H17" s="7">
        <v>517307</v>
      </c>
      <c r="I17" s="125"/>
      <c r="J17" s="46">
        <v>1.5496099999999999</v>
      </c>
      <c r="K17" s="11">
        <f t="shared" si="3"/>
        <v>801624.10026999994</v>
      </c>
      <c r="L17" s="23">
        <f>K17*1.18</f>
        <v>945916.43831859983</v>
      </c>
      <c r="M17" s="7">
        <f t="shared" ref="M17:M24" si="5">C17+H17</f>
        <v>517707</v>
      </c>
      <c r="N17" s="11">
        <f>F17+K17</f>
        <v>802338.76426999993</v>
      </c>
      <c r="O17" s="109">
        <f>P17-N17</f>
        <v>144420.97756859986</v>
      </c>
      <c r="P17" s="101">
        <f>L17+G17</f>
        <v>946759.74183859979</v>
      </c>
    </row>
    <row r="18" spans="1:16" s="48" customFormat="1" ht="39.75" customHeight="1" x14ac:dyDescent="0.25">
      <c r="A18" s="102" t="s">
        <v>49</v>
      </c>
      <c r="B18" s="47" t="s">
        <v>33</v>
      </c>
      <c r="C18" s="18">
        <v>400</v>
      </c>
      <c r="D18" s="19"/>
      <c r="E18" s="20">
        <v>1.7866599999999999</v>
      </c>
      <c r="F18" s="11">
        <f t="shared" si="1"/>
        <v>714.66399999999999</v>
      </c>
      <c r="G18" s="25">
        <f>F18*1.18</f>
        <v>843.30351999999993</v>
      </c>
      <c r="H18" s="18">
        <v>487439</v>
      </c>
      <c r="I18" s="19"/>
      <c r="J18" s="20">
        <v>1.5496099999999999</v>
      </c>
      <c r="K18" s="11">
        <f>J18*H18</f>
        <v>755340.34878999996</v>
      </c>
      <c r="L18" s="25">
        <f>K18*1.18</f>
        <v>891301.61157219985</v>
      </c>
      <c r="M18" s="12">
        <f t="shared" si="5"/>
        <v>487839</v>
      </c>
      <c r="N18" s="13">
        <f t="shared" ref="N18:N23" si="6">F18+K18</f>
        <v>756055.01278999995</v>
      </c>
      <c r="O18" s="13">
        <f t="shared" ref="O18:O24" si="7">P18-N18</f>
        <v>136089.90230219986</v>
      </c>
      <c r="P18" s="96">
        <f t="shared" ref="P18:P24" si="8">L18+G18</f>
        <v>892144.91509219981</v>
      </c>
    </row>
    <row r="19" spans="1:16" x14ac:dyDescent="0.25">
      <c r="A19" s="100" t="s">
        <v>3</v>
      </c>
      <c r="B19" s="6" t="s">
        <v>34</v>
      </c>
      <c r="C19" s="7">
        <v>500</v>
      </c>
      <c r="D19" s="17"/>
      <c r="E19" s="15">
        <v>1.86869</v>
      </c>
      <c r="F19" s="11">
        <f t="shared" si="1"/>
        <v>934.34500000000003</v>
      </c>
      <c r="G19" s="24">
        <f t="shared" si="2"/>
        <v>1102.5271</v>
      </c>
      <c r="H19" s="7">
        <v>907522</v>
      </c>
      <c r="I19" s="17"/>
      <c r="J19" s="15">
        <v>1.6388499999999999</v>
      </c>
      <c r="K19" s="11">
        <f t="shared" si="3"/>
        <v>1487292.4297</v>
      </c>
      <c r="L19" s="24">
        <f>K19*1.18</f>
        <v>1755005.0670459999</v>
      </c>
      <c r="M19" s="12">
        <f t="shared" si="5"/>
        <v>908022</v>
      </c>
      <c r="N19" s="13">
        <f t="shared" si="6"/>
        <v>1488226.7747</v>
      </c>
      <c r="O19" s="13">
        <f t="shared" si="7"/>
        <v>267880.81944600004</v>
      </c>
      <c r="P19" s="96">
        <f t="shared" si="8"/>
        <v>1756107.594146</v>
      </c>
    </row>
    <row r="20" spans="1:16" ht="16.5" thickBot="1" x14ac:dyDescent="0.3">
      <c r="A20" s="110" t="s">
        <v>35</v>
      </c>
      <c r="B20" s="121" t="s">
        <v>36</v>
      </c>
      <c r="C20" s="112">
        <v>600</v>
      </c>
      <c r="D20" s="117"/>
      <c r="E20" s="114">
        <v>1.9102600000000001</v>
      </c>
      <c r="F20" s="115">
        <f>E20*C20</f>
        <v>1146.1559999999999</v>
      </c>
      <c r="G20" s="116">
        <f t="shared" si="2"/>
        <v>1352.46408</v>
      </c>
      <c r="H20" s="112">
        <v>517571</v>
      </c>
      <c r="I20" s="117"/>
      <c r="J20" s="114">
        <v>1.68408</v>
      </c>
      <c r="K20" s="115">
        <f t="shared" si="3"/>
        <v>871630.96967999998</v>
      </c>
      <c r="L20" s="116">
        <f>K20*1.18</f>
        <v>1028524.5442223999</v>
      </c>
      <c r="M20" s="118">
        <f t="shared" si="5"/>
        <v>518171</v>
      </c>
      <c r="N20" s="119">
        <f t="shared" si="6"/>
        <v>872777.12567999994</v>
      </c>
      <c r="O20" s="119">
        <f t="shared" si="7"/>
        <v>157099.88262239995</v>
      </c>
      <c r="P20" s="120">
        <f t="shared" si="8"/>
        <v>1029877.0083023999</v>
      </c>
    </row>
    <row r="21" spans="1:16" s="30" customFormat="1" ht="16.5" thickBot="1" x14ac:dyDescent="0.3">
      <c r="A21" s="130" t="s">
        <v>47</v>
      </c>
      <c r="B21" s="131"/>
      <c r="C21" s="132">
        <f>C18+C19+C20</f>
        <v>1500</v>
      </c>
      <c r="D21" s="135"/>
      <c r="E21" s="136"/>
      <c r="F21" s="133">
        <f>F18+F19+F20</f>
        <v>2795.165</v>
      </c>
      <c r="G21" s="133">
        <f>G18+G19+G20</f>
        <v>3298.2946999999999</v>
      </c>
      <c r="H21" s="132">
        <f>H18+H19+H20</f>
        <v>1912532</v>
      </c>
      <c r="I21" s="137"/>
      <c r="J21" s="136"/>
      <c r="K21" s="133">
        <f>K18+K19+K20</f>
        <v>3114263.74817</v>
      </c>
      <c r="L21" s="133">
        <f>L18+L19+L20</f>
        <v>3674831.2228405997</v>
      </c>
      <c r="M21" s="132">
        <f>SUM(M18:M20)</f>
        <v>1914032</v>
      </c>
      <c r="N21" s="133">
        <f>SUM(N18:N20)</f>
        <v>3117058.9131700001</v>
      </c>
      <c r="O21" s="133">
        <f>SUM(O18:O20)</f>
        <v>561070.60437059985</v>
      </c>
      <c r="P21" s="138">
        <f>SUM(P18:P20)</f>
        <v>3678129.5175405997</v>
      </c>
    </row>
    <row r="22" spans="1:16" x14ac:dyDescent="0.25">
      <c r="A22" s="97" t="s">
        <v>37</v>
      </c>
      <c r="B22" s="6" t="s">
        <v>38</v>
      </c>
      <c r="C22" s="7">
        <v>700</v>
      </c>
      <c r="D22" s="123"/>
      <c r="E22" s="15">
        <v>1.90456</v>
      </c>
      <c r="F22" s="11">
        <f t="shared" si="1"/>
        <v>1333.192</v>
      </c>
      <c r="G22" s="23">
        <f t="shared" si="2"/>
        <v>1573.1665599999999</v>
      </c>
      <c r="H22" s="7">
        <v>1064092</v>
      </c>
      <c r="I22" s="123"/>
      <c r="J22" s="15">
        <v>1.6778900000000001</v>
      </c>
      <c r="K22" s="11">
        <f>J22*H22</f>
        <v>1785429.3258800001</v>
      </c>
      <c r="L22" s="23">
        <f>K22*1.18</f>
        <v>2106806.6045384002</v>
      </c>
      <c r="M22" s="108">
        <f t="shared" si="5"/>
        <v>1064792</v>
      </c>
      <c r="N22" s="109">
        <f t="shared" si="6"/>
        <v>1786762.5178800002</v>
      </c>
      <c r="O22" s="109">
        <f t="shared" si="7"/>
        <v>321617.25321839983</v>
      </c>
      <c r="P22" s="101">
        <f t="shared" si="8"/>
        <v>2108379.7710984</v>
      </c>
    </row>
    <row r="23" spans="1:16" x14ac:dyDescent="0.25">
      <c r="A23" s="100" t="s">
        <v>39</v>
      </c>
      <c r="B23" s="6" t="s">
        <v>40</v>
      </c>
      <c r="C23" s="7">
        <v>700</v>
      </c>
      <c r="D23" s="17"/>
      <c r="E23" s="15">
        <v>1.8994</v>
      </c>
      <c r="F23" s="11">
        <f t="shared" si="1"/>
        <v>1329.58</v>
      </c>
      <c r="G23" s="24">
        <f t="shared" si="2"/>
        <v>1568.9043999999999</v>
      </c>
      <c r="H23" s="7">
        <v>1207223</v>
      </c>
      <c r="I23" s="17"/>
      <c r="J23" s="15">
        <v>1.6722699999999999</v>
      </c>
      <c r="K23" s="11">
        <f>J23*H23</f>
        <v>2018802.8062099998</v>
      </c>
      <c r="L23" s="24">
        <f>K23*1.18</f>
        <v>2382187.3113277997</v>
      </c>
      <c r="M23" s="12">
        <f t="shared" si="5"/>
        <v>1207923</v>
      </c>
      <c r="N23" s="13">
        <f t="shared" si="6"/>
        <v>2020132.3862099999</v>
      </c>
      <c r="O23" s="13">
        <f t="shared" si="7"/>
        <v>363623.82951779966</v>
      </c>
      <c r="P23" s="96">
        <f t="shared" si="8"/>
        <v>2383756.2157277996</v>
      </c>
    </row>
    <row r="24" spans="1:16" ht="16.5" thickBot="1" x14ac:dyDescent="0.3">
      <c r="A24" s="110" t="s">
        <v>41</v>
      </c>
      <c r="B24" s="121" t="s">
        <v>42</v>
      </c>
      <c r="C24" s="112">
        <v>800</v>
      </c>
      <c r="D24" s="117"/>
      <c r="E24" s="114">
        <v>1.8551599999999999</v>
      </c>
      <c r="F24" s="115">
        <f t="shared" si="1"/>
        <v>1484.1279999999999</v>
      </c>
      <c r="G24" s="116">
        <f t="shared" si="2"/>
        <v>1751.2710399999999</v>
      </c>
      <c r="H24" s="112">
        <v>1388716</v>
      </c>
      <c r="I24" s="117"/>
      <c r="J24" s="114">
        <v>1.6241699999999999</v>
      </c>
      <c r="K24" s="115">
        <f>J24*H24</f>
        <v>2255510.8657199997</v>
      </c>
      <c r="L24" s="116">
        <f>K24*1.18+0.01</f>
        <v>2661502.8315495993</v>
      </c>
      <c r="M24" s="118">
        <f t="shared" si="5"/>
        <v>1389516</v>
      </c>
      <c r="N24" s="119">
        <f>F24+K24</f>
        <v>2256994.9937199997</v>
      </c>
      <c r="O24" s="119">
        <f t="shared" si="7"/>
        <v>406259.10886959964</v>
      </c>
      <c r="P24" s="120">
        <f t="shared" si="8"/>
        <v>2663254.1025895993</v>
      </c>
    </row>
    <row r="25" spans="1:16" s="30" customFormat="1" ht="16.5" thickBot="1" x14ac:dyDescent="0.3">
      <c r="A25" s="130" t="s">
        <v>48</v>
      </c>
      <c r="B25" s="131"/>
      <c r="C25" s="132">
        <f>SUM(C22:C24)</f>
        <v>2200</v>
      </c>
      <c r="D25" s="135"/>
      <c r="E25" s="136"/>
      <c r="F25" s="133">
        <f>SUM(F22:F24)</f>
        <v>4146.8999999999996</v>
      </c>
      <c r="G25" s="133">
        <f>SUM(G22:G24)</f>
        <v>4893.3419999999996</v>
      </c>
      <c r="H25" s="132">
        <f>SUM(H22:H24)</f>
        <v>3660031</v>
      </c>
      <c r="I25" s="137"/>
      <c r="J25" s="136"/>
      <c r="K25" s="133">
        <f t="shared" ref="K25:P25" si="9">SUM(K22:K24)</f>
        <v>6059742.9978099996</v>
      </c>
      <c r="L25" s="133">
        <f t="shared" si="9"/>
        <v>7150496.7474157996</v>
      </c>
      <c r="M25" s="132">
        <f t="shared" si="9"/>
        <v>3662231</v>
      </c>
      <c r="N25" s="133">
        <f t="shared" si="9"/>
        <v>6063889.89781</v>
      </c>
      <c r="O25" s="133">
        <f t="shared" si="9"/>
        <v>1091500.1916057991</v>
      </c>
      <c r="P25" s="138">
        <f t="shared" si="9"/>
        <v>7155390.0894157998</v>
      </c>
    </row>
    <row r="26" spans="1:16" s="21" customFormat="1" ht="16.5" thickBot="1" x14ac:dyDescent="0.3">
      <c r="A26" s="126" t="s">
        <v>43</v>
      </c>
      <c r="B26" s="103"/>
      <c r="C26" s="104">
        <f>B12:C12+C16+C21+C25</f>
        <v>7500</v>
      </c>
      <c r="D26" s="127">
        <f>SUM(D10:D10)</f>
        <v>0</v>
      </c>
      <c r="E26" s="127"/>
      <c r="F26" s="128">
        <f>F12+F16+F21+F25</f>
        <v>13878.117</v>
      </c>
      <c r="G26" s="128">
        <f>G12+G16+G21+G25</f>
        <v>16376.1836</v>
      </c>
      <c r="H26" s="104">
        <f>H12+H16+H21+H25</f>
        <v>11027603</v>
      </c>
      <c r="I26" s="127">
        <f>SUM(I10:I10)</f>
        <v>0</v>
      </c>
      <c r="J26" s="127"/>
      <c r="K26" s="128">
        <f t="shared" ref="K26:P26" si="10">K12+K16+K21+K25</f>
        <v>18559578.711309999</v>
      </c>
      <c r="L26" s="128">
        <f t="shared" si="10"/>
        <v>21900302.890256397</v>
      </c>
      <c r="M26" s="104">
        <f t="shared" si="10"/>
        <v>11035103</v>
      </c>
      <c r="N26" s="128">
        <f>N12+N16+N21+N25</f>
        <v>18573456.828310002</v>
      </c>
      <c r="O26" s="128">
        <f t="shared" si="10"/>
        <v>3343222.2455463987</v>
      </c>
      <c r="P26" s="129">
        <f t="shared" si="10"/>
        <v>21916679.073856398</v>
      </c>
    </row>
    <row r="27" spans="1:16" s="30" customFormat="1" x14ac:dyDescent="0.25">
      <c r="A27" s="33"/>
      <c r="B27" s="33"/>
      <c r="C27" s="34"/>
      <c r="D27" s="35"/>
      <c r="E27" s="35"/>
      <c r="F27" s="26"/>
      <c r="G27" s="26"/>
      <c r="H27" s="34"/>
      <c r="I27" s="35"/>
      <c r="J27" s="35"/>
      <c r="K27" s="26"/>
      <c r="L27" s="26"/>
      <c r="M27" s="26"/>
      <c r="N27" s="26"/>
      <c r="O27" s="26"/>
      <c r="P27" s="26"/>
    </row>
    <row r="28" spans="1:16" s="30" customFormat="1" x14ac:dyDescent="0.25">
      <c r="A28" s="33"/>
      <c r="B28" s="33"/>
      <c r="C28" s="34"/>
      <c r="D28" s="36"/>
      <c r="E28" s="36"/>
      <c r="F28" s="31"/>
      <c r="G28" s="27"/>
      <c r="H28" s="34"/>
      <c r="I28" s="36"/>
      <c r="J28" s="36"/>
      <c r="K28" s="31"/>
      <c r="L28" s="31"/>
      <c r="M28" s="31"/>
      <c r="N28" s="31"/>
      <c r="O28" s="31"/>
      <c r="P28" s="31"/>
    </row>
    <row r="29" spans="1:16" s="29" customFormat="1" ht="16.5" thickBot="1" x14ac:dyDescent="0.3">
      <c r="A29" s="37"/>
      <c r="B29" s="33"/>
      <c r="C29" s="258"/>
      <c r="D29" s="258"/>
      <c r="E29" s="258"/>
      <c r="F29" s="31"/>
      <c r="G29" s="28"/>
      <c r="H29" s="39"/>
      <c r="I29" s="40"/>
      <c r="J29" s="40"/>
      <c r="K29" s="32"/>
      <c r="L29" s="32"/>
      <c r="M29" s="32"/>
      <c r="N29" s="32"/>
      <c r="O29" s="32"/>
      <c r="P29" s="32"/>
    </row>
    <row r="30" spans="1:16" s="29" customFormat="1" ht="36" customHeight="1" thickBot="1" x14ac:dyDescent="0.3">
      <c r="A30" s="37"/>
      <c r="B30" s="55" t="s">
        <v>53</v>
      </c>
      <c r="C30" s="56" t="s">
        <v>19</v>
      </c>
      <c r="D30" s="57"/>
      <c r="E30" s="56" t="s">
        <v>78</v>
      </c>
      <c r="F30" s="56" t="s">
        <v>51</v>
      </c>
      <c r="G30" s="58" t="s">
        <v>52</v>
      </c>
      <c r="H30" s="39"/>
      <c r="I30" s="40"/>
      <c r="J30" s="40"/>
      <c r="K30" s="32"/>
      <c r="L30" s="32"/>
      <c r="M30" s="32"/>
      <c r="N30" s="32"/>
      <c r="O30" s="32"/>
      <c r="P30" s="32"/>
    </row>
    <row r="31" spans="1:16" s="29" customFormat="1" ht="16.5" thickBot="1" x14ac:dyDescent="0.3">
      <c r="B31" s="83" t="s">
        <v>81</v>
      </c>
      <c r="C31" s="84">
        <f>C26+H26</f>
        <v>11035103</v>
      </c>
      <c r="D31" s="85"/>
      <c r="E31" s="94">
        <f>F31/C31</f>
        <v>1.6831249176659246</v>
      </c>
      <c r="F31" s="87">
        <f>F26+K26</f>
        <v>18573456.828309998</v>
      </c>
      <c r="G31" s="91">
        <f>G26+L26</f>
        <v>21916679.073856398</v>
      </c>
      <c r="K31" s="41"/>
      <c r="N31" s="41"/>
    </row>
    <row r="32" spans="1:16" s="30" customFormat="1" ht="31.5" x14ac:dyDescent="0.25">
      <c r="B32" s="81" t="s">
        <v>50</v>
      </c>
      <c r="C32" s="61">
        <v>214152</v>
      </c>
      <c r="D32" s="50"/>
      <c r="E32" s="92">
        <f>F32/C32</f>
        <v>1.6981608857260264</v>
      </c>
      <c r="F32" s="51">
        <f>363664.55</f>
        <v>363664.55</v>
      </c>
      <c r="G32" s="59">
        <f>F32*1.18</f>
        <v>429124.16899999994</v>
      </c>
      <c r="N32" s="42"/>
    </row>
    <row r="33" spans="2:7" s="30" customFormat="1" ht="16.5" thickBot="1" x14ac:dyDescent="0.3">
      <c r="B33" s="82" t="s">
        <v>44</v>
      </c>
      <c r="C33" s="62">
        <f>C31-C32</f>
        <v>10820951</v>
      </c>
      <c r="D33" s="63"/>
      <c r="E33" s="93">
        <f>F33/C33</f>
        <v>1.6828273483827805</v>
      </c>
      <c r="F33" s="64">
        <f>F31-F32</f>
        <v>18209792.278309997</v>
      </c>
      <c r="G33" s="65">
        <f>G31-G32</f>
        <v>21487554.904856399</v>
      </c>
    </row>
    <row r="34" spans="2:7" s="30" customFormat="1" x14ac:dyDescent="0.25">
      <c r="F34" s="38"/>
    </row>
    <row r="35" spans="2:7" s="30" customFormat="1" x14ac:dyDescent="0.25">
      <c r="F35" s="38"/>
    </row>
    <row r="36" spans="2:7" s="30" customFormat="1" x14ac:dyDescent="0.25">
      <c r="F36" s="38"/>
    </row>
    <row r="37" spans="2:7" s="30" customFormat="1" x14ac:dyDescent="0.25">
      <c r="F37" s="38"/>
    </row>
    <row r="38" spans="2:7" s="30" customFormat="1" x14ac:dyDescent="0.25">
      <c r="F38" s="38"/>
    </row>
    <row r="39" spans="2:7" s="30" customFormat="1" x14ac:dyDescent="0.25">
      <c r="F39" s="38"/>
    </row>
    <row r="40" spans="2:7" s="30" customFormat="1" x14ac:dyDescent="0.25">
      <c r="F40" s="38"/>
    </row>
  </sheetData>
  <mergeCells count="16">
    <mergeCell ref="C29:E29"/>
    <mergeCell ref="A8:P8"/>
    <mergeCell ref="M5:P5"/>
    <mergeCell ref="E6:E7"/>
    <mergeCell ref="F6:F7"/>
    <mergeCell ref="G6:G7"/>
    <mergeCell ref="J6:J7"/>
    <mergeCell ref="K6:K7"/>
    <mergeCell ref="L6:L7"/>
    <mergeCell ref="A1:P1"/>
    <mergeCell ref="A2:P2"/>
    <mergeCell ref="A3:P3"/>
    <mergeCell ref="A5:A7"/>
    <mergeCell ref="B5:B7"/>
    <mergeCell ref="C5:G5"/>
    <mergeCell ref="H5:L5"/>
  </mergeCells>
  <pageMargins left="0.51181102362204722" right="0.11811023622047245" top="0.15748031496062992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40"/>
  <sheetViews>
    <sheetView workbookViewId="0">
      <selection activeCell="L7" sqref="L7"/>
    </sheetView>
  </sheetViews>
  <sheetFormatPr defaultRowHeight="15.75" x14ac:dyDescent="0.25"/>
  <cols>
    <col min="1" max="1" width="18.85546875" style="3" customWidth="1"/>
    <col min="2" max="2" width="23.42578125" style="3" customWidth="1"/>
    <col min="3" max="3" width="16.42578125" style="3" customWidth="1"/>
    <col min="4" max="4" width="17.7109375" style="3" hidden="1" customWidth="1"/>
    <col min="5" max="5" width="14.42578125" style="3" customWidth="1"/>
    <col min="6" max="6" width="18.140625" style="22" customWidth="1"/>
    <col min="7" max="7" width="18.7109375" style="30" customWidth="1"/>
    <col min="8" max="8" width="18.5703125" style="3" customWidth="1"/>
    <col min="9" max="9" width="18.140625" style="3" customWidth="1"/>
    <col min="10" max="10" width="16.42578125" style="3" customWidth="1"/>
    <col min="11" max="11" width="16.85546875" style="30" customWidth="1"/>
    <col min="12" max="12" width="18.140625" style="3" customWidth="1"/>
    <col min="13" max="14" width="16.85546875" style="3" customWidth="1"/>
    <col min="15" max="15" width="17.140625" style="30" customWidth="1"/>
    <col min="16" max="241" width="9.140625" style="3"/>
    <col min="242" max="242" width="18.85546875" style="3" customWidth="1"/>
    <col min="243" max="243" width="28" style="3" customWidth="1"/>
    <col min="244" max="244" width="16.42578125" style="3" customWidth="1"/>
    <col min="245" max="245" width="0" style="3" hidden="1" customWidth="1"/>
    <col min="246" max="246" width="18.85546875" style="3" customWidth="1"/>
    <col min="247" max="247" width="18.140625" style="3" customWidth="1"/>
    <col min="248" max="248" width="17.7109375" style="3" customWidth="1"/>
    <col min="249" max="249" width="18" style="3" customWidth="1"/>
    <col min="250" max="250" width="0" style="3" hidden="1" customWidth="1"/>
    <col min="251" max="251" width="17.42578125" style="3" customWidth="1"/>
    <col min="252" max="252" width="14.5703125" style="3" customWidth="1"/>
    <col min="253" max="256" width="16.85546875" style="3" customWidth="1"/>
    <col min="257" max="257" width="17.140625" style="3" customWidth="1"/>
    <col min="258" max="262" width="0" style="3" hidden="1" customWidth="1"/>
    <col min="263" max="263" width="13.140625" style="3" bestFit="1" customWidth="1"/>
    <col min="264" max="264" width="16.140625" style="3" customWidth="1"/>
    <col min="265" max="497" width="9.140625" style="3"/>
    <col min="498" max="498" width="18.85546875" style="3" customWidth="1"/>
    <col min="499" max="499" width="28" style="3" customWidth="1"/>
    <col min="500" max="500" width="16.42578125" style="3" customWidth="1"/>
    <col min="501" max="501" width="0" style="3" hidden="1" customWidth="1"/>
    <col min="502" max="502" width="18.85546875" style="3" customWidth="1"/>
    <col min="503" max="503" width="18.140625" style="3" customWidth="1"/>
    <col min="504" max="504" width="17.7109375" style="3" customWidth="1"/>
    <col min="505" max="505" width="18" style="3" customWidth="1"/>
    <col min="506" max="506" width="0" style="3" hidden="1" customWidth="1"/>
    <col min="507" max="507" width="17.42578125" style="3" customWidth="1"/>
    <col min="508" max="508" width="14.5703125" style="3" customWidth="1"/>
    <col min="509" max="512" width="16.85546875" style="3" customWidth="1"/>
    <col min="513" max="513" width="17.140625" style="3" customWidth="1"/>
    <col min="514" max="518" width="0" style="3" hidden="1" customWidth="1"/>
    <col min="519" max="519" width="13.140625" style="3" bestFit="1" customWidth="1"/>
    <col min="520" max="520" width="16.140625" style="3" customWidth="1"/>
    <col min="521" max="753" width="9.140625" style="3"/>
    <col min="754" max="754" width="18.85546875" style="3" customWidth="1"/>
    <col min="755" max="755" width="28" style="3" customWidth="1"/>
    <col min="756" max="756" width="16.42578125" style="3" customWidth="1"/>
    <col min="757" max="757" width="0" style="3" hidden="1" customWidth="1"/>
    <col min="758" max="758" width="18.85546875" style="3" customWidth="1"/>
    <col min="759" max="759" width="18.140625" style="3" customWidth="1"/>
    <col min="760" max="760" width="17.7109375" style="3" customWidth="1"/>
    <col min="761" max="761" width="18" style="3" customWidth="1"/>
    <col min="762" max="762" width="0" style="3" hidden="1" customWidth="1"/>
    <col min="763" max="763" width="17.42578125" style="3" customWidth="1"/>
    <col min="764" max="764" width="14.5703125" style="3" customWidth="1"/>
    <col min="765" max="768" width="16.85546875" style="3" customWidth="1"/>
    <col min="769" max="769" width="17.140625" style="3" customWidth="1"/>
    <col min="770" max="774" width="0" style="3" hidden="1" customWidth="1"/>
    <col min="775" max="775" width="13.140625" style="3" bestFit="1" customWidth="1"/>
    <col min="776" max="776" width="16.140625" style="3" customWidth="1"/>
    <col min="777" max="1009" width="9.140625" style="3"/>
    <col min="1010" max="1010" width="18.85546875" style="3" customWidth="1"/>
    <col min="1011" max="1011" width="28" style="3" customWidth="1"/>
    <col min="1012" max="1012" width="16.42578125" style="3" customWidth="1"/>
    <col min="1013" max="1013" width="0" style="3" hidden="1" customWidth="1"/>
    <col min="1014" max="1014" width="18.85546875" style="3" customWidth="1"/>
    <col min="1015" max="1015" width="18.140625" style="3" customWidth="1"/>
    <col min="1016" max="1016" width="17.7109375" style="3" customWidth="1"/>
    <col min="1017" max="1017" width="18" style="3" customWidth="1"/>
    <col min="1018" max="1018" width="0" style="3" hidden="1" customWidth="1"/>
    <col min="1019" max="1019" width="17.42578125" style="3" customWidth="1"/>
    <col min="1020" max="1020" width="14.5703125" style="3" customWidth="1"/>
    <col min="1021" max="1024" width="16.85546875" style="3" customWidth="1"/>
    <col min="1025" max="1025" width="17.140625" style="3" customWidth="1"/>
    <col min="1026" max="1030" width="0" style="3" hidden="1" customWidth="1"/>
    <col min="1031" max="1031" width="13.140625" style="3" bestFit="1" customWidth="1"/>
    <col min="1032" max="1032" width="16.140625" style="3" customWidth="1"/>
    <col min="1033" max="1265" width="9.140625" style="3"/>
    <col min="1266" max="1266" width="18.85546875" style="3" customWidth="1"/>
    <col min="1267" max="1267" width="28" style="3" customWidth="1"/>
    <col min="1268" max="1268" width="16.42578125" style="3" customWidth="1"/>
    <col min="1269" max="1269" width="0" style="3" hidden="1" customWidth="1"/>
    <col min="1270" max="1270" width="18.85546875" style="3" customWidth="1"/>
    <col min="1271" max="1271" width="18.140625" style="3" customWidth="1"/>
    <col min="1272" max="1272" width="17.7109375" style="3" customWidth="1"/>
    <col min="1273" max="1273" width="18" style="3" customWidth="1"/>
    <col min="1274" max="1274" width="0" style="3" hidden="1" customWidth="1"/>
    <col min="1275" max="1275" width="17.42578125" style="3" customWidth="1"/>
    <col min="1276" max="1276" width="14.5703125" style="3" customWidth="1"/>
    <col min="1277" max="1280" width="16.85546875" style="3" customWidth="1"/>
    <col min="1281" max="1281" width="17.140625" style="3" customWidth="1"/>
    <col min="1282" max="1286" width="0" style="3" hidden="1" customWidth="1"/>
    <col min="1287" max="1287" width="13.140625" style="3" bestFit="1" customWidth="1"/>
    <col min="1288" max="1288" width="16.140625" style="3" customWidth="1"/>
    <col min="1289" max="1521" width="9.140625" style="3"/>
    <col min="1522" max="1522" width="18.85546875" style="3" customWidth="1"/>
    <col min="1523" max="1523" width="28" style="3" customWidth="1"/>
    <col min="1524" max="1524" width="16.42578125" style="3" customWidth="1"/>
    <col min="1525" max="1525" width="0" style="3" hidden="1" customWidth="1"/>
    <col min="1526" max="1526" width="18.85546875" style="3" customWidth="1"/>
    <col min="1527" max="1527" width="18.140625" style="3" customWidth="1"/>
    <col min="1528" max="1528" width="17.7109375" style="3" customWidth="1"/>
    <col min="1529" max="1529" width="18" style="3" customWidth="1"/>
    <col min="1530" max="1530" width="0" style="3" hidden="1" customWidth="1"/>
    <col min="1531" max="1531" width="17.42578125" style="3" customWidth="1"/>
    <col min="1532" max="1532" width="14.5703125" style="3" customWidth="1"/>
    <col min="1533" max="1536" width="16.85546875" style="3" customWidth="1"/>
    <col min="1537" max="1537" width="17.140625" style="3" customWidth="1"/>
    <col min="1538" max="1542" width="0" style="3" hidden="1" customWidth="1"/>
    <col min="1543" max="1543" width="13.140625" style="3" bestFit="1" customWidth="1"/>
    <col min="1544" max="1544" width="16.140625" style="3" customWidth="1"/>
    <col min="1545" max="1777" width="9.140625" style="3"/>
    <col min="1778" max="1778" width="18.85546875" style="3" customWidth="1"/>
    <col min="1779" max="1779" width="28" style="3" customWidth="1"/>
    <col min="1780" max="1780" width="16.42578125" style="3" customWidth="1"/>
    <col min="1781" max="1781" width="0" style="3" hidden="1" customWidth="1"/>
    <col min="1782" max="1782" width="18.85546875" style="3" customWidth="1"/>
    <col min="1783" max="1783" width="18.140625" style="3" customWidth="1"/>
    <col min="1784" max="1784" width="17.7109375" style="3" customWidth="1"/>
    <col min="1785" max="1785" width="18" style="3" customWidth="1"/>
    <col min="1786" max="1786" width="0" style="3" hidden="1" customWidth="1"/>
    <col min="1787" max="1787" width="17.42578125" style="3" customWidth="1"/>
    <col min="1788" max="1788" width="14.5703125" style="3" customWidth="1"/>
    <col min="1789" max="1792" width="16.85546875" style="3" customWidth="1"/>
    <col min="1793" max="1793" width="17.140625" style="3" customWidth="1"/>
    <col min="1794" max="1798" width="0" style="3" hidden="1" customWidth="1"/>
    <col min="1799" max="1799" width="13.140625" style="3" bestFit="1" customWidth="1"/>
    <col min="1800" max="1800" width="16.140625" style="3" customWidth="1"/>
    <col min="1801" max="2033" width="9.140625" style="3"/>
    <col min="2034" max="2034" width="18.85546875" style="3" customWidth="1"/>
    <col min="2035" max="2035" width="28" style="3" customWidth="1"/>
    <col min="2036" max="2036" width="16.42578125" style="3" customWidth="1"/>
    <col min="2037" max="2037" width="0" style="3" hidden="1" customWidth="1"/>
    <col min="2038" max="2038" width="18.85546875" style="3" customWidth="1"/>
    <col min="2039" max="2039" width="18.140625" style="3" customWidth="1"/>
    <col min="2040" max="2040" width="17.7109375" style="3" customWidth="1"/>
    <col min="2041" max="2041" width="18" style="3" customWidth="1"/>
    <col min="2042" max="2042" width="0" style="3" hidden="1" customWidth="1"/>
    <col min="2043" max="2043" width="17.42578125" style="3" customWidth="1"/>
    <col min="2044" max="2044" width="14.5703125" style="3" customWidth="1"/>
    <col min="2045" max="2048" width="16.85546875" style="3" customWidth="1"/>
    <col min="2049" max="2049" width="17.140625" style="3" customWidth="1"/>
    <col min="2050" max="2054" width="0" style="3" hidden="1" customWidth="1"/>
    <col min="2055" max="2055" width="13.140625" style="3" bestFit="1" customWidth="1"/>
    <col min="2056" max="2056" width="16.140625" style="3" customWidth="1"/>
    <col min="2057" max="2289" width="9.140625" style="3"/>
    <col min="2290" max="2290" width="18.85546875" style="3" customWidth="1"/>
    <col min="2291" max="2291" width="28" style="3" customWidth="1"/>
    <col min="2292" max="2292" width="16.42578125" style="3" customWidth="1"/>
    <col min="2293" max="2293" width="0" style="3" hidden="1" customWidth="1"/>
    <col min="2294" max="2294" width="18.85546875" style="3" customWidth="1"/>
    <col min="2295" max="2295" width="18.140625" style="3" customWidth="1"/>
    <col min="2296" max="2296" width="17.7109375" style="3" customWidth="1"/>
    <col min="2297" max="2297" width="18" style="3" customWidth="1"/>
    <col min="2298" max="2298" width="0" style="3" hidden="1" customWidth="1"/>
    <col min="2299" max="2299" width="17.42578125" style="3" customWidth="1"/>
    <col min="2300" max="2300" width="14.5703125" style="3" customWidth="1"/>
    <col min="2301" max="2304" width="16.85546875" style="3" customWidth="1"/>
    <col min="2305" max="2305" width="17.140625" style="3" customWidth="1"/>
    <col min="2306" max="2310" width="0" style="3" hidden="1" customWidth="1"/>
    <col min="2311" max="2311" width="13.140625" style="3" bestFit="1" customWidth="1"/>
    <col min="2312" max="2312" width="16.140625" style="3" customWidth="1"/>
    <col min="2313" max="2545" width="9.140625" style="3"/>
    <col min="2546" max="2546" width="18.85546875" style="3" customWidth="1"/>
    <col min="2547" max="2547" width="28" style="3" customWidth="1"/>
    <col min="2548" max="2548" width="16.42578125" style="3" customWidth="1"/>
    <col min="2549" max="2549" width="0" style="3" hidden="1" customWidth="1"/>
    <col min="2550" max="2550" width="18.85546875" style="3" customWidth="1"/>
    <col min="2551" max="2551" width="18.140625" style="3" customWidth="1"/>
    <col min="2552" max="2552" width="17.7109375" style="3" customWidth="1"/>
    <col min="2553" max="2553" width="18" style="3" customWidth="1"/>
    <col min="2554" max="2554" width="0" style="3" hidden="1" customWidth="1"/>
    <col min="2555" max="2555" width="17.42578125" style="3" customWidth="1"/>
    <col min="2556" max="2556" width="14.5703125" style="3" customWidth="1"/>
    <col min="2557" max="2560" width="16.85546875" style="3" customWidth="1"/>
    <col min="2561" max="2561" width="17.140625" style="3" customWidth="1"/>
    <col min="2562" max="2566" width="0" style="3" hidden="1" customWidth="1"/>
    <col min="2567" max="2567" width="13.140625" style="3" bestFit="1" customWidth="1"/>
    <col min="2568" max="2568" width="16.140625" style="3" customWidth="1"/>
    <col min="2569" max="2801" width="9.140625" style="3"/>
    <col min="2802" max="2802" width="18.85546875" style="3" customWidth="1"/>
    <col min="2803" max="2803" width="28" style="3" customWidth="1"/>
    <col min="2804" max="2804" width="16.42578125" style="3" customWidth="1"/>
    <col min="2805" max="2805" width="0" style="3" hidden="1" customWidth="1"/>
    <col min="2806" max="2806" width="18.85546875" style="3" customWidth="1"/>
    <col min="2807" max="2807" width="18.140625" style="3" customWidth="1"/>
    <col min="2808" max="2808" width="17.7109375" style="3" customWidth="1"/>
    <col min="2809" max="2809" width="18" style="3" customWidth="1"/>
    <col min="2810" max="2810" width="0" style="3" hidden="1" customWidth="1"/>
    <col min="2811" max="2811" width="17.42578125" style="3" customWidth="1"/>
    <col min="2812" max="2812" width="14.5703125" style="3" customWidth="1"/>
    <col min="2813" max="2816" width="16.85546875" style="3" customWidth="1"/>
    <col min="2817" max="2817" width="17.140625" style="3" customWidth="1"/>
    <col min="2818" max="2822" width="0" style="3" hidden="1" customWidth="1"/>
    <col min="2823" max="2823" width="13.140625" style="3" bestFit="1" customWidth="1"/>
    <col min="2824" max="2824" width="16.140625" style="3" customWidth="1"/>
    <col min="2825" max="3057" width="9.140625" style="3"/>
    <col min="3058" max="3058" width="18.85546875" style="3" customWidth="1"/>
    <col min="3059" max="3059" width="28" style="3" customWidth="1"/>
    <col min="3060" max="3060" width="16.42578125" style="3" customWidth="1"/>
    <col min="3061" max="3061" width="0" style="3" hidden="1" customWidth="1"/>
    <col min="3062" max="3062" width="18.85546875" style="3" customWidth="1"/>
    <col min="3063" max="3063" width="18.140625" style="3" customWidth="1"/>
    <col min="3064" max="3064" width="17.7109375" style="3" customWidth="1"/>
    <col min="3065" max="3065" width="18" style="3" customWidth="1"/>
    <col min="3066" max="3066" width="0" style="3" hidden="1" customWidth="1"/>
    <col min="3067" max="3067" width="17.42578125" style="3" customWidth="1"/>
    <col min="3068" max="3068" width="14.5703125" style="3" customWidth="1"/>
    <col min="3069" max="3072" width="16.85546875" style="3" customWidth="1"/>
    <col min="3073" max="3073" width="17.140625" style="3" customWidth="1"/>
    <col min="3074" max="3078" width="0" style="3" hidden="1" customWidth="1"/>
    <col min="3079" max="3079" width="13.140625" style="3" bestFit="1" customWidth="1"/>
    <col min="3080" max="3080" width="16.140625" style="3" customWidth="1"/>
    <col min="3081" max="3313" width="9.140625" style="3"/>
    <col min="3314" max="3314" width="18.85546875" style="3" customWidth="1"/>
    <col min="3315" max="3315" width="28" style="3" customWidth="1"/>
    <col min="3316" max="3316" width="16.42578125" style="3" customWidth="1"/>
    <col min="3317" max="3317" width="0" style="3" hidden="1" customWidth="1"/>
    <col min="3318" max="3318" width="18.85546875" style="3" customWidth="1"/>
    <col min="3319" max="3319" width="18.140625" style="3" customWidth="1"/>
    <col min="3320" max="3320" width="17.7109375" style="3" customWidth="1"/>
    <col min="3321" max="3321" width="18" style="3" customWidth="1"/>
    <col min="3322" max="3322" width="0" style="3" hidden="1" customWidth="1"/>
    <col min="3323" max="3323" width="17.42578125" style="3" customWidth="1"/>
    <col min="3324" max="3324" width="14.5703125" style="3" customWidth="1"/>
    <col min="3325" max="3328" width="16.85546875" style="3" customWidth="1"/>
    <col min="3329" max="3329" width="17.140625" style="3" customWidth="1"/>
    <col min="3330" max="3334" width="0" style="3" hidden="1" customWidth="1"/>
    <col min="3335" max="3335" width="13.140625" style="3" bestFit="1" customWidth="1"/>
    <col min="3336" max="3336" width="16.140625" style="3" customWidth="1"/>
    <col min="3337" max="3569" width="9.140625" style="3"/>
    <col min="3570" max="3570" width="18.85546875" style="3" customWidth="1"/>
    <col min="3571" max="3571" width="28" style="3" customWidth="1"/>
    <col min="3572" max="3572" width="16.42578125" style="3" customWidth="1"/>
    <col min="3573" max="3573" width="0" style="3" hidden="1" customWidth="1"/>
    <col min="3574" max="3574" width="18.85546875" style="3" customWidth="1"/>
    <col min="3575" max="3575" width="18.140625" style="3" customWidth="1"/>
    <col min="3576" max="3576" width="17.7109375" style="3" customWidth="1"/>
    <col min="3577" max="3577" width="18" style="3" customWidth="1"/>
    <col min="3578" max="3578" width="0" style="3" hidden="1" customWidth="1"/>
    <col min="3579" max="3579" width="17.42578125" style="3" customWidth="1"/>
    <col min="3580" max="3580" width="14.5703125" style="3" customWidth="1"/>
    <col min="3581" max="3584" width="16.85546875" style="3" customWidth="1"/>
    <col min="3585" max="3585" width="17.140625" style="3" customWidth="1"/>
    <col min="3586" max="3590" width="0" style="3" hidden="1" customWidth="1"/>
    <col min="3591" max="3591" width="13.140625" style="3" bestFit="1" customWidth="1"/>
    <col min="3592" max="3592" width="16.140625" style="3" customWidth="1"/>
    <col min="3593" max="3825" width="9.140625" style="3"/>
    <col min="3826" max="3826" width="18.85546875" style="3" customWidth="1"/>
    <col min="3827" max="3827" width="28" style="3" customWidth="1"/>
    <col min="3828" max="3828" width="16.42578125" style="3" customWidth="1"/>
    <col min="3829" max="3829" width="0" style="3" hidden="1" customWidth="1"/>
    <col min="3830" max="3830" width="18.85546875" style="3" customWidth="1"/>
    <col min="3831" max="3831" width="18.140625" style="3" customWidth="1"/>
    <col min="3832" max="3832" width="17.7109375" style="3" customWidth="1"/>
    <col min="3833" max="3833" width="18" style="3" customWidth="1"/>
    <col min="3834" max="3834" width="0" style="3" hidden="1" customWidth="1"/>
    <col min="3835" max="3835" width="17.42578125" style="3" customWidth="1"/>
    <col min="3836" max="3836" width="14.5703125" style="3" customWidth="1"/>
    <col min="3837" max="3840" width="16.85546875" style="3" customWidth="1"/>
    <col min="3841" max="3841" width="17.140625" style="3" customWidth="1"/>
    <col min="3842" max="3846" width="0" style="3" hidden="1" customWidth="1"/>
    <col min="3847" max="3847" width="13.140625" style="3" bestFit="1" customWidth="1"/>
    <col min="3848" max="3848" width="16.140625" style="3" customWidth="1"/>
    <col min="3849" max="4081" width="9.140625" style="3"/>
    <col min="4082" max="4082" width="18.85546875" style="3" customWidth="1"/>
    <col min="4083" max="4083" width="28" style="3" customWidth="1"/>
    <col min="4084" max="4084" width="16.42578125" style="3" customWidth="1"/>
    <col min="4085" max="4085" width="0" style="3" hidden="1" customWidth="1"/>
    <col min="4086" max="4086" width="18.85546875" style="3" customWidth="1"/>
    <col min="4087" max="4087" width="18.140625" style="3" customWidth="1"/>
    <col min="4088" max="4088" width="17.7109375" style="3" customWidth="1"/>
    <col min="4089" max="4089" width="18" style="3" customWidth="1"/>
    <col min="4090" max="4090" width="0" style="3" hidden="1" customWidth="1"/>
    <col min="4091" max="4091" width="17.42578125" style="3" customWidth="1"/>
    <col min="4092" max="4092" width="14.5703125" style="3" customWidth="1"/>
    <col min="4093" max="4096" width="16.85546875" style="3" customWidth="1"/>
    <col min="4097" max="4097" width="17.140625" style="3" customWidth="1"/>
    <col min="4098" max="4102" width="0" style="3" hidden="1" customWidth="1"/>
    <col min="4103" max="4103" width="13.140625" style="3" bestFit="1" customWidth="1"/>
    <col min="4104" max="4104" width="16.140625" style="3" customWidth="1"/>
    <col min="4105" max="4337" width="9.140625" style="3"/>
    <col min="4338" max="4338" width="18.85546875" style="3" customWidth="1"/>
    <col min="4339" max="4339" width="28" style="3" customWidth="1"/>
    <col min="4340" max="4340" width="16.42578125" style="3" customWidth="1"/>
    <col min="4341" max="4341" width="0" style="3" hidden="1" customWidth="1"/>
    <col min="4342" max="4342" width="18.85546875" style="3" customWidth="1"/>
    <col min="4343" max="4343" width="18.140625" style="3" customWidth="1"/>
    <col min="4344" max="4344" width="17.7109375" style="3" customWidth="1"/>
    <col min="4345" max="4345" width="18" style="3" customWidth="1"/>
    <col min="4346" max="4346" width="0" style="3" hidden="1" customWidth="1"/>
    <col min="4347" max="4347" width="17.42578125" style="3" customWidth="1"/>
    <col min="4348" max="4348" width="14.5703125" style="3" customWidth="1"/>
    <col min="4349" max="4352" width="16.85546875" style="3" customWidth="1"/>
    <col min="4353" max="4353" width="17.140625" style="3" customWidth="1"/>
    <col min="4354" max="4358" width="0" style="3" hidden="1" customWidth="1"/>
    <col min="4359" max="4359" width="13.140625" style="3" bestFit="1" customWidth="1"/>
    <col min="4360" max="4360" width="16.140625" style="3" customWidth="1"/>
    <col min="4361" max="4593" width="9.140625" style="3"/>
    <col min="4594" max="4594" width="18.85546875" style="3" customWidth="1"/>
    <col min="4595" max="4595" width="28" style="3" customWidth="1"/>
    <col min="4596" max="4596" width="16.42578125" style="3" customWidth="1"/>
    <col min="4597" max="4597" width="0" style="3" hidden="1" customWidth="1"/>
    <col min="4598" max="4598" width="18.85546875" style="3" customWidth="1"/>
    <col min="4599" max="4599" width="18.140625" style="3" customWidth="1"/>
    <col min="4600" max="4600" width="17.7109375" style="3" customWidth="1"/>
    <col min="4601" max="4601" width="18" style="3" customWidth="1"/>
    <col min="4602" max="4602" width="0" style="3" hidden="1" customWidth="1"/>
    <col min="4603" max="4603" width="17.42578125" style="3" customWidth="1"/>
    <col min="4604" max="4604" width="14.5703125" style="3" customWidth="1"/>
    <col min="4605" max="4608" width="16.85546875" style="3" customWidth="1"/>
    <col min="4609" max="4609" width="17.140625" style="3" customWidth="1"/>
    <col min="4610" max="4614" width="0" style="3" hidden="1" customWidth="1"/>
    <col min="4615" max="4615" width="13.140625" style="3" bestFit="1" customWidth="1"/>
    <col min="4616" max="4616" width="16.140625" style="3" customWidth="1"/>
    <col min="4617" max="4849" width="9.140625" style="3"/>
    <col min="4850" max="4850" width="18.85546875" style="3" customWidth="1"/>
    <col min="4851" max="4851" width="28" style="3" customWidth="1"/>
    <col min="4852" max="4852" width="16.42578125" style="3" customWidth="1"/>
    <col min="4853" max="4853" width="0" style="3" hidden="1" customWidth="1"/>
    <col min="4854" max="4854" width="18.85546875" style="3" customWidth="1"/>
    <col min="4855" max="4855" width="18.140625" style="3" customWidth="1"/>
    <col min="4856" max="4856" width="17.7109375" style="3" customWidth="1"/>
    <col min="4857" max="4857" width="18" style="3" customWidth="1"/>
    <col min="4858" max="4858" width="0" style="3" hidden="1" customWidth="1"/>
    <col min="4859" max="4859" width="17.42578125" style="3" customWidth="1"/>
    <col min="4860" max="4860" width="14.5703125" style="3" customWidth="1"/>
    <col min="4861" max="4864" width="16.85546875" style="3" customWidth="1"/>
    <col min="4865" max="4865" width="17.140625" style="3" customWidth="1"/>
    <col min="4866" max="4870" width="0" style="3" hidden="1" customWidth="1"/>
    <col min="4871" max="4871" width="13.140625" style="3" bestFit="1" customWidth="1"/>
    <col min="4872" max="4872" width="16.140625" style="3" customWidth="1"/>
    <col min="4873" max="5105" width="9.140625" style="3"/>
    <col min="5106" max="5106" width="18.85546875" style="3" customWidth="1"/>
    <col min="5107" max="5107" width="28" style="3" customWidth="1"/>
    <col min="5108" max="5108" width="16.42578125" style="3" customWidth="1"/>
    <col min="5109" max="5109" width="0" style="3" hidden="1" customWidth="1"/>
    <col min="5110" max="5110" width="18.85546875" style="3" customWidth="1"/>
    <col min="5111" max="5111" width="18.140625" style="3" customWidth="1"/>
    <col min="5112" max="5112" width="17.7109375" style="3" customWidth="1"/>
    <col min="5113" max="5113" width="18" style="3" customWidth="1"/>
    <col min="5114" max="5114" width="0" style="3" hidden="1" customWidth="1"/>
    <col min="5115" max="5115" width="17.42578125" style="3" customWidth="1"/>
    <col min="5116" max="5116" width="14.5703125" style="3" customWidth="1"/>
    <col min="5117" max="5120" width="16.85546875" style="3" customWidth="1"/>
    <col min="5121" max="5121" width="17.140625" style="3" customWidth="1"/>
    <col min="5122" max="5126" width="0" style="3" hidden="1" customWidth="1"/>
    <col min="5127" max="5127" width="13.140625" style="3" bestFit="1" customWidth="1"/>
    <col min="5128" max="5128" width="16.140625" style="3" customWidth="1"/>
    <col min="5129" max="5361" width="9.140625" style="3"/>
    <col min="5362" max="5362" width="18.85546875" style="3" customWidth="1"/>
    <col min="5363" max="5363" width="28" style="3" customWidth="1"/>
    <col min="5364" max="5364" width="16.42578125" style="3" customWidth="1"/>
    <col min="5365" max="5365" width="0" style="3" hidden="1" customWidth="1"/>
    <col min="5366" max="5366" width="18.85546875" style="3" customWidth="1"/>
    <col min="5367" max="5367" width="18.140625" style="3" customWidth="1"/>
    <col min="5368" max="5368" width="17.7109375" style="3" customWidth="1"/>
    <col min="5369" max="5369" width="18" style="3" customWidth="1"/>
    <col min="5370" max="5370" width="0" style="3" hidden="1" customWidth="1"/>
    <col min="5371" max="5371" width="17.42578125" style="3" customWidth="1"/>
    <col min="5372" max="5372" width="14.5703125" style="3" customWidth="1"/>
    <col min="5373" max="5376" width="16.85546875" style="3" customWidth="1"/>
    <col min="5377" max="5377" width="17.140625" style="3" customWidth="1"/>
    <col min="5378" max="5382" width="0" style="3" hidden="1" customWidth="1"/>
    <col min="5383" max="5383" width="13.140625" style="3" bestFit="1" customWidth="1"/>
    <col min="5384" max="5384" width="16.140625" style="3" customWidth="1"/>
    <col min="5385" max="5617" width="9.140625" style="3"/>
    <col min="5618" max="5618" width="18.85546875" style="3" customWidth="1"/>
    <col min="5619" max="5619" width="28" style="3" customWidth="1"/>
    <col min="5620" max="5620" width="16.42578125" style="3" customWidth="1"/>
    <col min="5621" max="5621" width="0" style="3" hidden="1" customWidth="1"/>
    <col min="5622" max="5622" width="18.85546875" style="3" customWidth="1"/>
    <col min="5623" max="5623" width="18.140625" style="3" customWidth="1"/>
    <col min="5624" max="5624" width="17.7109375" style="3" customWidth="1"/>
    <col min="5625" max="5625" width="18" style="3" customWidth="1"/>
    <col min="5626" max="5626" width="0" style="3" hidden="1" customWidth="1"/>
    <col min="5627" max="5627" width="17.42578125" style="3" customWidth="1"/>
    <col min="5628" max="5628" width="14.5703125" style="3" customWidth="1"/>
    <col min="5629" max="5632" width="16.85546875" style="3" customWidth="1"/>
    <col min="5633" max="5633" width="17.140625" style="3" customWidth="1"/>
    <col min="5634" max="5638" width="0" style="3" hidden="1" customWidth="1"/>
    <col min="5639" max="5639" width="13.140625" style="3" bestFit="1" customWidth="1"/>
    <col min="5640" max="5640" width="16.140625" style="3" customWidth="1"/>
    <col min="5641" max="5873" width="9.140625" style="3"/>
    <col min="5874" max="5874" width="18.85546875" style="3" customWidth="1"/>
    <col min="5875" max="5875" width="28" style="3" customWidth="1"/>
    <col min="5876" max="5876" width="16.42578125" style="3" customWidth="1"/>
    <col min="5877" max="5877" width="0" style="3" hidden="1" customWidth="1"/>
    <col min="5878" max="5878" width="18.85546875" style="3" customWidth="1"/>
    <col min="5879" max="5879" width="18.140625" style="3" customWidth="1"/>
    <col min="5880" max="5880" width="17.7109375" style="3" customWidth="1"/>
    <col min="5881" max="5881" width="18" style="3" customWidth="1"/>
    <col min="5882" max="5882" width="0" style="3" hidden="1" customWidth="1"/>
    <col min="5883" max="5883" width="17.42578125" style="3" customWidth="1"/>
    <col min="5884" max="5884" width="14.5703125" style="3" customWidth="1"/>
    <col min="5885" max="5888" width="16.85546875" style="3" customWidth="1"/>
    <col min="5889" max="5889" width="17.140625" style="3" customWidth="1"/>
    <col min="5890" max="5894" width="0" style="3" hidden="1" customWidth="1"/>
    <col min="5895" max="5895" width="13.140625" style="3" bestFit="1" customWidth="1"/>
    <col min="5896" max="5896" width="16.140625" style="3" customWidth="1"/>
    <col min="5897" max="6129" width="9.140625" style="3"/>
    <col min="6130" max="6130" width="18.85546875" style="3" customWidth="1"/>
    <col min="6131" max="6131" width="28" style="3" customWidth="1"/>
    <col min="6132" max="6132" width="16.42578125" style="3" customWidth="1"/>
    <col min="6133" max="6133" width="0" style="3" hidden="1" customWidth="1"/>
    <col min="6134" max="6134" width="18.85546875" style="3" customWidth="1"/>
    <col min="6135" max="6135" width="18.140625" style="3" customWidth="1"/>
    <col min="6136" max="6136" width="17.7109375" style="3" customWidth="1"/>
    <col min="6137" max="6137" width="18" style="3" customWidth="1"/>
    <col min="6138" max="6138" width="0" style="3" hidden="1" customWidth="1"/>
    <col min="6139" max="6139" width="17.42578125" style="3" customWidth="1"/>
    <col min="6140" max="6140" width="14.5703125" style="3" customWidth="1"/>
    <col min="6141" max="6144" width="16.85546875" style="3" customWidth="1"/>
    <col min="6145" max="6145" width="17.140625" style="3" customWidth="1"/>
    <col min="6146" max="6150" width="0" style="3" hidden="1" customWidth="1"/>
    <col min="6151" max="6151" width="13.140625" style="3" bestFit="1" customWidth="1"/>
    <col min="6152" max="6152" width="16.140625" style="3" customWidth="1"/>
    <col min="6153" max="6385" width="9.140625" style="3"/>
    <col min="6386" max="6386" width="18.85546875" style="3" customWidth="1"/>
    <col min="6387" max="6387" width="28" style="3" customWidth="1"/>
    <col min="6388" max="6388" width="16.42578125" style="3" customWidth="1"/>
    <col min="6389" max="6389" width="0" style="3" hidden="1" customWidth="1"/>
    <col min="6390" max="6390" width="18.85546875" style="3" customWidth="1"/>
    <col min="6391" max="6391" width="18.140625" style="3" customWidth="1"/>
    <col min="6392" max="6392" width="17.7109375" style="3" customWidth="1"/>
    <col min="6393" max="6393" width="18" style="3" customWidth="1"/>
    <col min="6394" max="6394" width="0" style="3" hidden="1" customWidth="1"/>
    <col min="6395" max="6395" width="17.42578125" style="3" customWidth="1"/>
    <col min="6396" max="6396" width="14.5703125" style="3" customWidth="1"/>
    <col min="6397" max="6400" width="16.85546875" style="3" customWidth="1"/>
    <col min="6401" max="6401" width="17.140625" style="3" customWidth="1"/>
    <col min="6402" max="6406" width="0" style="3" hidden="1" customWidth="1"/>
    <col min="6407" max="6407" width="13.140625" style="3" bestFit="1" customWidth="1"/>
    <col min="6408" max="6408" width="16.140625" style="3" customWidth="1"/>
    <col min="6409" max="6641" width="9.140625" style="3"/>
    <col min="6642" max="6642" width="18.85546875" style="3" customWidth="1"/>
    <col min="6643" max="6643" width="28" style="3" customWidth="1"/>
    <col min="6644" max="6644" width="16.42578125" style="3" customWidth="1"/>
    <col min="6645" max="6645" width="0" style="3" hidden="1" customWidth="1"/>
    <col min="6646" max="6646" width="18.85546875" style="3" customWidth="1"/>
    <col min="6647" max="6647" width="18.140625" style="3" customWidth="1"/>
    <col min="6648" max="6648" width="17.7109375" style="3" customWidth="1"/>
    <col min="6649" max="6649" width="18" style="3" customWidth="1"/>
    <col min="6650" max="6650" width="0" style="3" hidden="1" customWidth="1"/>
    <col min="6651" max="6651" width="17.42578125" style="3" customWidth="1"/>
    <col min="6652" max="6652" width="14.5703125" style="3" customWidth="1"/>
    <col min="6653" max="6656" width="16.85546875" style="3" customWidth="1"/>
    <col min="6657" max="6657" width="17.140625" style="3" customWidth="1"/>
    <col min="6658" max="6662" width="0" style="3" hidden="1" customWidth="1"/>
    <col min="6663" max="6663" width="13.140625" style="3" bestFit="1" customWidth="1"/>
    <col min="6664" max="6664" width="16.140625" style="3" customWidth="1"/>
    <col min="6665" max="6897" width="9.140625" style="3"/>
    <col min="6898" max="6898" width="18.85546875" style="3" customWidth="1"/>
    <col min="6899" max="6899" width="28" style="3" customWidth="1"/>
    <col min="6900" max="6900" width="16.42578125" style="3" customWidth="1"/>
    <col min="6901" max="6901" width="0" style="3" hidden="1" customWidth="1"/>
    <col min="6902" max="6902" width="18.85546875" style="3" customWidth="1"/>
    <col min="6903" max="6903" width="18.140625" style="3" customWidth="1"/>
    <col min="6904" max="6904" width="17.7109375" style="3" customWidth="1"/>
    <col min="6905" max="6905" width="18" style="3" customWidth="1"/>
    <col min="6906" max="6906" width="0" style="3" hidden="1" customWidth="1"/>
    <col min="6907" max="6907" width="17.42578125" style="3" customWidth="1"/>
    <col min="6908" max="6908" width="14.5703125" style="3" customWidth="1"/>
    <col min="6909" max="6912" width="16.85546875" style="3" customWidth="1"/>
    <col min="6913" max="6913" width="17.140625" style="3" customWidth="1"/>
    <col min="6914" max="6918" width="0" style="3" hidden="1" customWidth="1"/>
    <col min="6919" max="6919" width="13.140625" style="3" bestFit="1" customWidth="1"/>
    <col min="6920" max="6920" width="16.140625" style="3" customWidth="1"/>
    <col min="6921" max="7153" width="9.140625" style="3"/>
    <col min="7154" max="7154" width="18.85546875" style="3" customWidth="1"/>
    <col min="7155" max="7155" width="28" style="3" customWidth="1"/>
    <col min="7156" max="7156" width="16.42578125" style="3" customWidth="1"/>
    <col min="7157" max="7157" width="0" style="3" hidden="1" customWidth="1"/>
    <col min="7158" max="7158" width="18.85546875" style="3" customWidth="1"/>
    <col min="7159" max="7159" width="18.140625" style="3" customWidth="1"/>
    <col min="7160" max="7160" width="17.7109375" style="3" customWidth="1"/>
    <col min="7161" max="7161" width="18" style="3" customWidth="1"/>
    <col min="7162" max="7162" width="0" style="3" hidden="1" customWidth="1"/>
    <col min="7163" max="7163" width="17.42578125" style="3" customWidth="1"/>
    <col min="7164" max="7164" width="14.5703125" style="3" customWidth="1"/>
    <col min="7165" max="7168" width="16.85546875" style="3" customWidth="1"/>
    <col min="7169" max="7169" width="17.140625" style="3" customWidth="1"/>
    <col min="7170" max="7174" width="0" style="3" hidden="1" customWidth="1"/>
    <col min="7175" max="7175" width="13.140625" style="3" bestFit="1" customWidth="1"/>
    <col min="7176" max="7176" width="16.140625" style="3" customWidth="1"/>
    <col min="7177" max="7409" width="9.140625" style="3"/>
    <col min="7410" max="7410" width="18.85546875" style="3" customWidth="1"/>
    <col min="7411" max="7411" width="28" style="3" customWidth="1"/>
    <col min="7412" max="7412" width="16.42578125" style="3" customWidth="1"/>
    <col min="7413" max="7413" width="0" style="3" hidden="1" customWidth="1"/>
    <col min="7414" max="7414" width="18.85546875" style="3" customWidth="1"/>
    <col min="7415" max="7415" width="18.140625" style="3" customWidth="1"/>
    <col min="7416" max="7416" width="17.7109375" style="3" customWidth="1"/>
    <col min="7417" max="7417" width="18" style="3" customWidth="1"/>
    <col min="7418" max="7418" width="0" style="3" hidden="1" customWidth="1"/>
    <col min="7419" max="7419" width="17.42578125" style="3" customWidth="1"/>
    <col min="7420" max="7420" width="14.5703125" style="3" customWidth="1"/>
    <col min="7421" max="7424" width="16.85546875" style="3" customWidth="1"/>
    <col min="7425" max="7425" width="17.140625" style="3" customWidth="1"/>
    <col min="7426" max="7430" width="0" style="3" hidden="1" customWidth="1"/>
    <col min="7431" max="7431" width="13.140625" style="3" bestFit="1" customWidth="1"/>
    <col min="7432" max="7432" width="16.140625" style="3" customWidth="1"/>
    <col min="7433" max="7665" width="9.140625" style="3"/>
    <col min="7666" max="7666" width="18.85546875" style="3" customWidth="1"/>
    <col min="7667" max="7667" width="28" style="3" customWidth="1"/>
    <col min="7668" max="7668" width="16.42578125" style="3" customWidth="1"/>
    <col min="7669" max="7669" width="0" style="3" hidden="1" customWidth="1"/>
    <col min="7670" max="7670" width="18.85546875" style="3" customWidth="1"/>
    <col min="7671" max="7671" width="18.140625" style="3" customWidth="1"/>
    <col min="7672" max="7672" width="17.7109375" style="3" customWidth="1"/>
    <col min="7673" max="7673" width="18" style="3" customWidth="1"/>
    <col min="7674" max="7674" width="0" style="3" hidden="1" customWidth="1"/>
    <col min="7675" max="7675" width="17.42578125" style="3" customWidth="1"/>
    <col min="7676" max="7676" width="14.5703125" style="3" customWidth="1"/>
    <col min="7677" max="7680" width="16.85546875" style="3" customWidth="1"/>
    <col min="7681" max="7681" width="17.140625" style="3" customWidth="1"/>
    <col min="7682" max="7686" width="0" style="3" hidden="1" customWidth="1"/>
    <col min="7687" max="7687" width="13.140625" style="3" bestFit="1" customWidth="1"/>
    <col min="7688" max="7688" width="16.140625" style="3" customWidth="1"/>
    <col min="7689" max="7921" width="9.140625" style="3"/>
    <col min="7922" max="7922" width="18.85546875" style="3" customWidth="1"/>
    <col min="7923" max="7923" width="28" style="3" customWidth="1"/>
    <col min="7924" max="7924" width="16.42578125" style="3" customWidth="1"/>
    <col min="7925" max="7925" width="0" style="3" hidden="1" customWidth="1"/>
    <col min="7926" max="7926" width="18.85546875" style="3" customWidth="1"/>
    <col min="7927" max="7927" width="18.140625" style="3" customWidth="1"/>
    <col min="7928" max="7928" width="17.7109375" style="3" customWidth="1"/>
    <col min="7929" max="7929" width="18" style="3" customWidth="1"/>
    <col min="7930" max="7930" width="0" style="3" hidden="1" customWidth="1"/>
    <col min="7931" max="7931" width="17.42578125" style="3" customWidth="1"/>
    <col min="7932" max="7932" width="14.5703125" style="3" customWidth="1"/>
    <col min="7933" max="7936" width="16.85546875" style="3" customWidth="1"/>
    <col min="7937" max="7937" width="17.140625" style="3" customWidth="1"/>
    <col min="7938" max="7942" width="0" style="3" hidden="1" customWidth="1"/>
    <col min="7943" max="7943" width="13.140625" style="3" bestFit="1" customWidth="1"/>
    <col min="7944" max="7944" width="16.140625" style="3" customWidth="1"/>
    <col min="7945" max="8177" width="9.140625" style="3"/>
    <col min="8178" max="8178" width="18.85546875" style="3" customWidth="1"/>
    <col min="8179" max="8179" width="28" style="3" customWidth="1"/>
    <col min="8180" max="8180" width="16.42578125" style="3" customWidth="1"/>
    <col min="8181" max="8181" width="0" style="3" hidden="1" customWidth="1"/>
    <col min="8182" max="8182" width="18.85546875" style="3" customWidth="1"/>
    <col min="8183" max="8183" width="18.140625" style="3" customWidth="1"/>
    <col min="8184" max="8184" width="17.7109375" style="3" customWidth="1"/>
    <col min="8185" max="8185" width="18" style="3" customWidth="1"/>
    <col min="8186" max="8186" width="0" style="3" hidden="1" customWidth="1"/>
    <col min="8187" max="8187" width="17.42578125" style="3" customWidth="1"/>
    <col min="8188" max="8188" width="14.5703125" style="3" customWidth="1"/>
    <col min="8189" max="8192" width="16.85546875" style="3" customWidth="1"/>
    <col min="8193" max="8193" width="17.140625" style="3" customWidth="1"/>
    <col min="8194" max="8198" width="0" style="3" hidden="1" customWidth="1"/>
    <col min="8199" max="8199" width="13.140625" style="3" bestFit="1" customWidth="1"/>
    <col min="8200" max="8200" width="16.140625" style="3" customWidth="1"/>
    <col min="8201" max="8433" width="9.140625" style="3"/>
    <col min="8434" max="8434" width="18.85546875" style="3" customWidth="1"/>
    <col min="8435" max="8435" width="28" style="3" customWidth="1"/>
    <col min="8436" max="8436" width="16.42578125" style="3" customWidth="1"/>
    <col min="8437" max="8437" width="0" style="3" hidden="1" customWidth="1"/>
    <col min="8438" max="8438" width="18.85546875" style="3" customWidth="1"/>
    <col min="8439" max="8439" width="18.140625" style="3" customWidth="1"/>
    <col min="8440" max="8440" width="17.7109375" style="3" customWidth="1"/>
    <col min="8441" max="8441" width="18" style="3" customWidth="1"/>
    <col min="8442" max="8442" width="0" style="3" hidden="1" customWidth="1"/>
    <col min="8443" max="8443" width="17.42578125" style="3" customWidth="1"/>
    <col min="8444" max="8444" width="14.5703125" style="3" customWidth="1"/>
    <col min="8445" max="8448" width="16.85546875" style="3" customWidth="1"/>
    <col min="8449" max="8449" width="17.140625" style="3" customWidth="1"/>
    <col min="8450" max="8454" width="0" style="3" hidden="1" customWidth="1"/>
    <col min="8455" max="8455" width="13.140625" style="3" bestFit="1" customWidth="1"/>
    <col min="8456" max="8456" width="16.140625" style="3" customWidth="1"/>
    <col min="8457" max="8689" width="9.140625" style="3"/>
    <col min="8690" max="8690" width="18.85546875" style="3" customWidth="1"/>
    <col min="8691" max="8691" width="28" style="3" customWidth="1"/>
    <col min="8692" max="8692" width="16.42578125" style="3" customWidth="1"/>
    <col min="8693" max="8693" width="0" style="3" hidden="1" customWidth="1"/>
    <col min="8694" max="8694" width="18.85546875" style="3" customWidth="1"/>
    <col min="8695" max="8695" width="18.140625" style="3" customWidth="1"/>
    <col min="8696" max="8696" width="17.7109375" style="3" customWidth="1"/>
    <col min="8697" max="8697" width="18" style="3" customWidth="1"/>
    <col min="8698" max="8698" width="0" style="3" hidden="1" customWidth="1"/>
    <col min="8699" max="8699" width="17.42578125" style="3" customWidth="1"/>
    <col min="8700" max="8700" width="14.5703125" style="3" customWidth="1"/>
    <col min="8701" max="8704" width="16.85546875" style="3" customWidth="1"/>
    <col min="8705" max="8705" width="17.140625" style="3" customWidth="1"/>
    <col min="8706" max="8710" width="0" style="3" hidden="1" customWidth="1"/>
    <col min="8711" max="8711" width="13.140625" style="3" bestFit="1" customWidth="1"/>
    <col min="8712" max="8712" width="16.140625" style="3" customWidth="1"/>
    <col min="8713" max="8945" width="9.140625" style="3"/>
    <col min="8946" max="8946" width="18.85546875" style="3" customWidth="1"/>
    <col min="8947" max="8947" width="28" style="3" customWidth="1"/>
    <col min="8948" max="8948" width="16.42578125" style="3" customWidth="1"/>
    <col min="8949" max="8949" width="0" style="3" hidden="1" customWidth="1"/>
    <col min="8950" max="8950" width="18.85546875" style="3" customWidth="1"/>
    <col min="8951" max="8951" width="18.140625" style="3" customWidth="1"/>
    <col min="8952" max="8952" width="17.7109375" style="3" customWidth="1"/>
    <col min="8953" max="8953" width="18" style="3" customWidth="1"/>
    <col min="8954" max="8954" width="0" style="3" hidden="1" customWidth="1"/>
    <col min="8955" max="8955" width="17.42578125" style="3" customWidth="1"/>
    <col min="8956" max="8956" width="14.5703125" style="3" customWidth="1"/>
    <col min="8957" max="8960" width="16.85546875" style="3" customWidth="1"/>
    <col min="8961" max="8961" width="17.140625" style="3" customWidth="1"/>
    <col min="8962" max="8966" width="0" style="3" hidden="1" customWidth="1"/>
    <col min="8967" max="8967" width="13.140625" style="3" bestFit="1" customWidth="1"/>
    <col min="8968" max="8968" width="16.140625" style="3" customWidth="1"/>
    <col min="8969" max="9201" width="9.140625" style="3"/>
    <col min="9202" max="9202" width="18.85546875" style="3" customWidth="1"/>
    <col min="9203" max="9203" width="28" style="3" customWidth="1"/>
    <col min="9204" max="9204" width="16.42578125" style="3" customWidth="1"/>
    <col min="9205" max="9205" width="0" style="3" hidden="1" customWidth="1"/>
    <col min="9206" max="9206" width="18.85546875" style="3" customWidth="1"/>
    <col min="9207" max="9207" width="18.140625" style="3" customWidth="1"/>
    <col min="9208" max="9208" width="17.7109375" style="3" customWidth="1"/>
    <col min="9209" max="9209" width="18" style="3" customWidth="1"/>
    <col min="9210" max="9210" width="0" style="3" hidden="1" customWidth="1"/>
    <col min="9211" max="9211" width="17.42578125" style="3" customWidth="1"/>
    <col min="9212" max="9212" width="14.5703125" style="3" customWidth="1"/>
    <col min="9213" max="9216" width="16.85546875" style="3" customWidth="1"/>
    <col min="9217" max="9217" width="17.140625" style="3" customWidth="1"/>
    <col min="9218" max="9222" width="0" style="3" hidden="1" customWidth="1"/>
    <col min="9223" max="9223" width="13.140625" style="3" bestFit="1" customWidth="1"/>
    <col min="9224" max="9224" width="16.140625" style="3" customWidth="1"/>
    <col min="9225" max="9457" width="9.140625" style="3"/>
    <col min="9458" max="9458" width="18.85546875" style="3" customWidth="1"/>
    <col min="9459" max="9459" width="28" style="3" customWidth="1"/>
    <col min="9460" max="9460" width="16.42578125" style="3" customWidth="1"/>
    <col min="9461" max="9461" width="0" style="3" hidden="1" customWidth="1"/>
    <col min="9462" max="9462" width="18.85546875" style="3" customWidth="1"/>
    <col min="9463" max="9463" width="18.140625" style="3" customWidth="1"/>
    <col min="9464" max="9464" width="17.7109375" style="3" customWidth="1"/>
    <col min="9465" max="9465" width="18" style="3" customWidth="1"/>
    <col min="9466" max="9466" width="0" style="3" hidden="1" customWidth="1"/>
    <col min="9467" max="9467" width="17.42578125" style="3" customWidth="1"/>
    <col min="9468" max="9468" width="14.5703125" style="3" customWidth="1"/>
    <col min="9469" max="9472" width="16.85546875" style="3" customWidth="1"/>
    <col min="9473" max="9473" width="17.140625" style="3" customWidth="1"/>
    <col min="9474" max="9478" width="0" style="3" hidden="1" customWidth="1"/>
    <col min="9479" max="9479" width="13.140625" style="3" bestFit="1" customWidth="1"/>
    <col min="9480" max="9480" width="16.140625" style="3" customWidth="1"/>
    <col min="9481" max="9713" width="9.140625" style="3"/>
    <col min="9714" max="9714" width="18.85546875" style="3" customWidth="1"/>
    <col min="9715" max="9715" width="28" style="3" customWidth="1"/>
    <col min="9716" max="9716" width="16.42578125" style="3" customWidth="1"/>
    <col min="9717" max="9717" width="0" style="3" hidden="1" customWidth="1"/>
    <col min="9718" max="9718" width="18.85546875" style="3" customWidth="1"/>
    <col min="9719" max="9719" width="18.140625" style="3" customWidth="1"/>
    <col min="9720" max="9720" width="17.7109375" style="3" customWidth="1"/>
    <col min="9721" max="9721" width="18" style="3" customWidth="1"/>
    <col min="9722" max="9722" width="0" style="3" hidden="1" customWidth="1"/>
    <col min="9723" max="9723" width="17.42578125" style="3" customWidth="1"/>
    <col min="9724" max="9724" width="14.5703125" style="3" customWidth="1"/>
    <col min="9725" max="9728" width="16.85546875" style="3" customWidth="1"/>
    <col min="9729" max="9729" width="17.140625" style="3" customWidth="1"/>
    <col min="9730" max="9734" width="0" style="3" hidden="1" customWidth="1"/>
    <col min="9735" max="9735" width="13.140625" style="3" bestFit="1" customWidth="1"/>
    <col min="9736" max="9736" width="16.140625" style="3" customWidth="1"/>
    <col min="9737" max="9969" width="9.140625" style="3"/>
    <col min="9970" max="9970" width="18.85546875" style="3" customWidth="1"/>
    <col min="9971" max="9971" width="28" style="3" customWidth="1"/>
    <col min="9972" max="9972" width="16.42578125" style="3" customWidth="1"/>
    <col min="9973" max="9973" width="0" style="3" hidden="1" customWidth="1"/>
    <col min="9974" max="9974" width="18.85546875" style="3" customWidth="1"/>
    <col min="9975" max="9975" width="18.140625" style="3" customWidth="1"/>
    <col min="9976" max="9976" width="17.7109375" style="3" customWidth="1"/>
    <col min="9977" max="9977" width="18" style="3" customWidth="1"/>
    <col min="9978" max="9978" width="0" style="3" hidden="1" customWidth="1"/>
    <col min="9979" max="9979" width="17.42578125" style="3" customWidth="1"/>
    <col min="9980" max="9980" width="14.5703125" style="3" customWidth="1"/>
    <col min="9981" max="9984" width="16.85546875" style="3" customWidth="1"/>
    <col min="9985" max="9985" width="17.140625" style="3" customWidth="1"/>
    <col min="9986" max="9990" width="0" style="3" hidden="1" customWidth="1"/>
    <col min="9991" max="9991" width="13.140625" style="3" bestFit="1" customWidth="1"/>
    <col min="9992" max="9992" width="16.140625" style="3" customWidth="1"/>
    <col min="9993" max="10225" width="9.140625" style="3"/>
    <col min="10226" max="10226" width="18.85546875" style="3" customWidth="1"/>
    <col min="10227" max="10227" width="28" style="3" customWidth="1"/>
    <col min="10228" max="10228" width="16.42578125" style="3" customWidth="1"/>
    <col min="10229" max="10229" width="0" style="3" hidden="1" customWidth="1"/>
    <col min="10230" max="10230" width="18.85546875" style="3" customWidth="1"/>
    <col min="10231" max="10231" width="18.140625" style="3" customWidth="1"/>
    <col min="10232" max="10232" width="17.7109375" style="3" customWidth="1"/>
    <col min="10233" max="10233" width="18" style="3" customWidth="1"/>
    <col min="10234" max="10234" width="0" style="3" hidden="1" customWidth="1"/>
    <col min="10235" max="10235" width="17.42578125" style="3" customWidth="1"/>
    <col min="10236" max="10236" width="14.5703125" style="3" customWidth="1"/>
    <col min="10237" max="10240" width="16.85546875" style="3" customWidth="1"/>
    <col min="10241" max="10241" width="17.140625" style="3" customWidth="1"/>
    <col min="10242" max="10246" width="0" style="3" hidden="1" customWidth="1"/>
    <col min="10247" max="10247" width="13.140625" style="3" bestFit="1" customWidth="1"/>
    <col min="10248" max="10248" width="16.140625" style="3" customWidth="1"/>
    <col min="10249" max="10481" width="9.140625" style="3"/>
    <col min="10482" max="10482" width="18.85546875" style="3" customWidth="1"/>
    <col min="10483" max="10483" width="28" style="3" customWidth="1"/>
    <col min="10484" max="10484" width="16.42578125" style="3" customWidth="1"/>
    <col min="10485" max="10485" width="0" style="3" hidden="1" customWidth="1"/>
    <col min="10486" max="10486" width="18.85546875" style="3" customWidth="1"/>
    <col min="10487" max="10487" width="18.140625" style="3" customWidth="1"/>
    <col min="10488" max="10488" width="17.7109375" style="3" customWidth="1"/>
    <col min="10489" max="10489" width="18" style="3" customWidth="1"/>
    <col min="10490" max="10490" width="0" style="3" hidden="1" customWidth="1"/>
    <col min="10491" max="10491" width="17.42578125" style="3" customWidth="1"/>
    <col min="10492" max="10492" width="14.5703125" style="3" customWidth="1"/>
    <col min="10493" max="10496" width="16.85546875" style="3" customWidth="1"/>
    <col min="10497" max="10497" width="17.140625" style="3" customWidth="1"/>
    <col min="10498" max="10502" width="0" style="3" hidden="1" customWidth="1"/>
    <col min="10503" max="10503" width="13.140625" style="3" bestFit="1" customWidth="1"/>
    <col min="10504" max="10504" width="16.140625" style="3" customWidth="1"/>
    <col min="10505" max="10737" width="9.140625" style="3"/>
    <col min="10738" max="10738" width="18.85546875" style="3" customWidth="1"/>
    <col min="10739" max="10739" width="28" style="3" customWidth="1"/>
    <col min="10740" max="10740" width="16.42578125" style="3" customWidth="1"/>
    <col min="10741" max="10741" width="0" style="3" hidden="1" customWidth="1"/>
    <col min="10742" max="10742" width="18.85546875" style="3" customWidth="1"/>
    <col min="10743" max="10743" width="18.140625" style="3" customWidth="1"/>
    <col min="10744" max="10744" width="17.7109375" style="3" customWidth="1"/>
    <col min="10745" max="10745" width="18" style="3" customWidth="1"/>
    <col min="10746" max="10746" width="0" style="3" hidden="1" customWidth="1"/>
    <col min="10747" max="10747" width="17.42578125" style="3" customWidth="1"/>
    <col min="10748" max="10748" width="14.5703125" style="3" customWidth="1"/>
    <col min="10749" max="10752" width="16.85546875" style="3" customWidth="1"/>
    <col min="10753" max="10753" width="17.140625" style="3" customWidth="1"/>
    <col min="10754" max="10758" width="0" style="3" hidden="1" customWidth="1"/>
    <col min="10759" max="10759" width="13.140625" style="3" bestFit="1" customWidth="1"/>
    <col min="10760" max="10760" width="16.140625" style="3" customWidth="1"/>
    <col min="10761" max="10993" width="9.140625" style="3"/>
    <col min="10994" max="10994" width="18.85546875" style="3" customWidth="1"/>
    <col min="10995" max="10995" width="28" style="3" customWidth="1"/>
    <col min="10996" max="10996" width="16.42578125" style="3" customWidth="1"/>
    <col min="10997" max="10997" width="0" style="3" hidden="1" customWidth="1"/>
    <col min="10998" max="10998" width="18.85546875" style="3" customWidth="1"/>
    <col min="10999" max="10999" width="18.140625" style="3" customWidth="1"/>
    <col min="11000" max="11000" width="17.7109375" style="3" customWidth="1"/>
    <col min="11001" max="11001" width="18" style="3" customWidth="1"/>
    <col min="11002" max="11002" width="0" style="3" hidden="1" customWidth="1"/>
    <col min="11003" max="11003" width="17.42578125" style="3" customWidth="1"/>
    <col min="11004" max="11004" width="14.5703125" style="3" customWidth="1"/>
    <col min="11005" max="11008" width="16.85546875" style="3" customWidth="1"/>
    <col min="11009" max="11009" width="17.140625" style="3" customWidth="1"/>
    <col min="11010" max="11014" width="0" style="3" hidden="1" customWidth="1"/>
    <col min="11015" max="11015" width="13.140625" style="3" bestFit="1" customWidth="1"/>
    <col min="11016" max="11016" width="16.140625" style="3" customWidth="1"/>
    <col min="11017" max="11249" width="9.140625" style="3"/>
    <col min="11250" max="11250" width="18.85546875" style="3" customWidth="1"/>
    <col min="11251" max="11251" width="28" style="3" customWidth="1"/>
    <col min="11252" max="11252" width="16.42578125" style="3" customWidth="1"/>
    <col min="11253" max="11253" width="0" style="3" hidden="1" customWidth="1"/>
    <col min="11254" max="11254" width="18.85546875" style="3" customWidth="1"/>
    <col min="11255" max="11255" width="18.140625" style="3" customWidth="1"/>
    <col min="11256" max="11256" width="17.7109375" style="3" customWidth="1"/>
    <col min="11257" max="11257" width="18" style="3" customWidth="1"/>
    <col min="11258" max="11258" width="0" style="3" hidden="1" customWidth="1"/>
    <col min="11259" max="11259" width="17.42578125" style="3" customWidth="1"/>
    <col min="11260" max="11260" width="14.5703125" style="3" customWidth="1"/>
    <col min="11261" max="11264" width="16.85546875" style="3" customWidth="1"/>
    <col min="11265" max="11265" width="17.140625" style="3" customWidth="1"/>
    <col min="11266" max="11270" width="0" style="3" hidden="1" customWidth="1"/>
    <col min="11271" max="11271" width="13.140625" style="3" bestFit="1" customWidth="1"/>
    <col min="11272" max="11272" width="16.140625" style="3" customWidth="1"/>
    <col min="11273" max="11505" width="9.140625" style="3"/>
    <col min="11506" max="11506" width="18.85546875" style="3" customWidth="1"/>
    <col min="11507" max="11507" width="28" style="3" customWidth="1"/>
    <col min="11508" max="11508" width="16.42578125" style="3" customWidth="1"/>
    <col min="11509" max="11509" width="0" style="3" hidden="1" customWidth="1"/>
    <col min="11510" max="11510" width="18.85546875" style="3" customWidth="1"/>
    <col min="11511" max="11511" width="18.140625" style="3" customWidth="1"/>
    <col min="11512" max="11512" width="17.7109375" style="3" customWidth="1"/>
    <col min="11513" max="11513" width="18" style="3" customWidth="1"/>
    <col min="11514" max="11514" width="0" style="3" hidden="1" customWidth="1"/>
    <col min="11515" max="11515" width="17.42578125" style="3" customWidth="1"/>
    <col min="11516" max="11516" width="14.5703125" style="3" customWidth="1"/>
    <col min="11517" max="11520" width="16.85546875" style="3" customWidth="1"/>
    <col min="11521" max="11521" width="17.140625" style="3" customWidth="1"/>
    <col min="11522" max="11526" width="0" style="3" hidden="1" customWidth="1"/>
    <col min="11527" max="11527" width="13.140625" style="3" bestFit="1" customWidth="1"/>
    <col min="11528" max="11528" width="16.140625" style="3" customWidth="1"/>
    <col min="11529" max="11761" width="9.140625" style="3"/>
    <col min="11762" max="11762" width="18.85546875" style="3" customWidth="1"/>
    <col min="11763" max="11763" width="28" style="3" customWidth="1"/>
    <col min="11764" max="11764" width="16.42578125" style="3" customWidth="1"/>
    <col min="11765" max="11765" width="0" style="3" hidden="1" customWidth="1"/>
    <col min="11766" max="11766" width="18.85546875" style="3" customWidth="1"/>
    <col min="11767" max="11767" width="18.140625" style="3" customWidth="1"/>
    <col min="11768" max="11768" width="17.7109375" style="3" customWidth="1"/>
    <col min="11769" max="11769" width="18" style="3" customWidth="1"/>
    <col min="11770" max="11770" width="0" style="3" hidden="1" customWidth="1"/>
    <col min="11771" max="11771" width="17.42578125" style="3" customWidth="1"/>
    <col min="11772" max="11772" width="14.5703125" style="3" customWidth="1"/>
    <col min="11773" max="11776" width="16.85546875" style="3" customWidth="1"/>
    <col min="11777" max="11777" width="17.140625" style="3" customWidth="1"/>
    <col min="11778" max="11782" width="0" style="3" hidden="1" customWidth="1"/>
    <col min="11783" max="11783" width="13.140625" style="3" bestFit="1" customWidth="1"/>
    <col min="11784" max="11784" width="16.140625" style="3" customWidth="1"/>
    <col min="11785" max="12017" width="9.140625" style="3"/>
    <col min="12018" max="12018" width="18.85546875" style="3" customWidth="1"/>
    <col min="12019" max="12019" width="28" style="3" customWidth="1"/>
    <col min="12020" max="12020" width="16.42578125" style="3" customWidth="1"/>
    <col min="12021" max="12021" width="0" style="3" hidden="1" customWidth="1"/>
    <col min="12022" max="12022" width="18.85546875" style="3" customWidth="1"/>
    <col min="12023" max="12023" width="18.140625" style="3" customWidth="1"/>
    <col min="12024" max="12024" width="17.7109375" style="3" customWidth="1"/>
    <col min="12025" max="12025" width="18" style="3" customWidth="1"/>
    <col min="12026" max="12026" width="0" style="3" hidden="1" customWidth="1"/>
    <col min="12027" max="12027" width="17.42578125" style="3" customWidth="1"/>
    <col min="12028" max="12028" width="14.5703125" style="3" customWidth="1"/>
    <col min="12029" max="12032" width="16.85546875" style="3" customWidth="1"/>
    <col min="12033" max="12033" width="17.140625" style="3" customWidth="1"/>
    <col min="12034" max="12038" width="0" style="3" hidden="1" customWidth="1"/>
    <col min="12039" max="12039" width="13.140625" style="3" bestFit="1" customWidth="1"/>
    <col min="12040" max="12040" width="16.140625" style="3" customWidth="1"/>
    <col min="12041" max="12273" width="9.140625" style="3"/>
    <col min="12274" max="12274" width="18.85546875" style="3" customWidth="1"/>
    <col min="12275" max="12275" width="28" style="3" customWidth="1"/>
    <col min="12276" max="12276" width="16.42578125" style="3" customWidth="1"/>
    <col min="12277" max="12277" width="0" style="3" hidden="1" customWidth="1"/>
    <col min="12278" max="12278" width="18.85546875" style="3" customWidth="1"/>
    <col min="12279" max="12279" width="18.140625" style="3" customWidth="1"/>
    <col min="12280" max="12280" width="17.7109375" style="3" customWidth="1"/>
    <col min="12281" max="12281" width="18" style="3" customWidth="1"/>
    <col min="12282" max="12282" width="0" style="3" hidden="1" customWidth="1"/>
    <col min="12283" max="12283" width="17.42578125" style="3" customWidth="1"/>
    <col min="12284" max="12284" width="14.5703125" style="3" customWidth="1"/>
    <col min="12285" max="12288" width="16.85546875" style="3" customWidth="1"/>
    <col min="12289" max="12289" width="17.140625" style="3" customWidth="1"/>
    <col min="12290" max="12294" width="0" style="3" hidden="1" customWidth="1"/>
    <col min="12295" max="12295" width="13.140625" style="3" bestFit="1" customWidth="1"/>
    <col min="12296" max="12296" width="16.140625" style="3" customWidth="1"/>
    <col min="12297" max="12529" width="9.140625" style="3"/>
    <col min="12530" max="12530" width="18.85546875" style="3" customWidth="1"/>
    <col min="12531" max="12531" width="28" style="3" customWidth="1"/>
    <col min="12532" max="12532" width="16.42578125" style="3" customWidth="1"/>
    <col min="12533" max="12533" width="0" style="3" hidden="1" customWidth="1"/>
    <col min="12534" max="12534" width="18.85546875" style="3" customWidth="1"/>
    <col min="12535" max="12535" width="18.140625" style="3" customWidth="1"/>
    <col min="12536" max="12536" width="17.7109375" style="3" customWidth="1"/>
    <col min="12537" max="12537" width="18" style="3" customWidth="1"/>
    <col min="12538" max="12538" width="0" style="3" hidden="1" customWidth="1"/>
    <col min="12539" max="12539" width="17.42578125" style="3" customWidth="1"/>
    <col min="12540" max="12540" width="14.5703125" style="3" customWidth="1"/>
    <col min="12541" max="12544" width="16.85546875" style="3" customWidth="1"/>
    <col min="12545" max="12545" width="17.140625" style="3" customWidth="1"/>
    <col min="12546" max="12550" width="0" style="3" hidden="1" customWidth="1"/>
    <col min="12551" max="12551" width="13.140625" style="3" bestFit="1" customWidth="1"/>
    <col min="12552" max="12552" width="16.140625" style="3" customWidth="1"/>
    <col min="12553" max="12785" width="9.140625" style="3"/>
    <col min="12786" max="12786" width="18.85546875" style="3" customWidth="1"/>
    <col min="12787" max="12787" width="28" style="3" customWidth="1"/>
    <col min="12788" max="12788" width="16.42578125" style="3" customWidth="1"/>
    <col min="12789" max="12789" width="0" style="3" hidden="1" customWidth="1"/>
    <col min="12790" max="12790" width="18.85546875" style="3" customWidth="1"/>
    <col min="12791" max="12791" width="18.140625" style="3" customWidth="1"/>
    <col min="12792" max="12792" width="17.7109375" style="3" customWidth="1"/>
    <col min="12793" max="12793" width="18" style="3" customWidth="1"/>
    <col min="12794" max="12794" width="0" style="3" hidden="1" customWidth="1"/>
    <col min="12795" max="12795" width="17.42578125" style="3" customWidth="1"/>
    <col min="12796" max="12796" width="14.5703125" style="3" customWidth="1"/>
    <col min="12797" max="12800" width="16.85546875" style="3" customWidth="1"/>
    <col min="12801" max="12801" width="17.140625" style="3" customWidth="1"/>
    <col min="12802" max="12806" width="0" style="3" hidden="1" customWidth="1"/>
    <col min="12807" max="12807" width="13.140625" style="3" bestFit="1" customWidth="1"/>
    <col min="12808" max="12808" width="16.140625" style="3" customWidth="1"/>
    <col min="12809" max="13041" width="9.140625" style="3"/>
    <col min="13042" max="13042" width="18.85546875" style="3" customWidth="1"/>
    <col min="13043" max="13043" width="28" style="3" customWidth="1"/>
    <col min="13044" max="13044" width="16.42578125" style="3" customWidth="1"/>
    <col min="13045" max="13045" width="0" style="3" hidden="1" customWidth="1"/>
    <col min="13046" max="13046" width="18.85546875" style="3" customWidth="1"/>
    <col min="13047" max="13047" width="18.140625" style="3" customWidth="1"/>
    <col min="13048" max="13048" width="17.7109375" style="3" customWidth="1"/>
    <col min="13049" max="13049" width="18" style="3" customWidth="1"/>
    <col min="13050" max="13050" width="0" style="3" hidden="1" customWidth="1"/>
    <col min="13051" max="13051" width="17.42578125" style="3" customWidth="1"/>
    <col min="13052" max="13052" width="14.5703125" style="3" customWidth="1"/>
    <col min="13053" max="13056" width="16.85546875" style="3" customWidth="1"/>
    <col min="13057" max="13057" width="17.140625" style="3" customWidth="1"/>
    <col min="13058" max="13062" width="0" style="3" hidden="1" customWidth="1"/>
    <col min="13063" max="13063" width="13.140625" style="3" bestFit="1" customWidth="1"/>
    <col min="13064" max="13064" width="16.140625" style="3" customWidth="1"/>
    <col min="13065" max="13297" width="9.140625" style="3"/>
    <col min="13298" max="13298" width="18.85546875" style="3" customWidth="1"/>
    <col min="13299" max="13299" width="28" style="3" customWidth="1"/>
    <col min="13300" max="13300" width="16.42578125" style="3" customWidth="1"/>
    <col min="13301" max="13301" width="0" style="3" hidden="1" customWidth="1"/>
    <col min="13302" max="13302" width="18.85546875" style="3" customWidth="1"/>
    <col min="13303" max="13303" width="18.140625" style="3" customWidth="1"/>
    <col min="13304" max="13304" width="17.7109375" style="3" customWidth="1"/>
    <col min="13305" max="13305" width="18" style="3" customWidth="1"/>
    <col min="13306" max="13306" width="0" style="3" hidden="1" customWidth="1"/>
    <col min="13307" max="13307" width="17.42578125" style="3" customWidth="1"/>
    <col min="13308" max="13308" width="14.5703125" style="3" customWidth="1"/>
    <col min="13309" max="13312" width="16.85546875" style="3" customWidth="1"/>
    <col min="13313" max="13313" width="17.140625" style="3" customWidth="1"/>
    <col min="13314" max="13318" width="0" style="3" hidden="1" customWidth="1"/>
    <col min="13319" max="13319" width="13.140625" style="3" bestFit="1" customWidth="1"/>
    <col min="13320" max="13320" width="16.140625" style="3" customWidth="1"/>
    <col min="13321" max="13553" width="9.140625" style="3"/>
    <col min="13554" max="13554" width="18.85546875" style="3" customWidth="1"/>
    <col min="13555" max="13555" width="28" style="3" customWidth="1"/>
    <col min="13556" max="13556" width="16.42578125" style="3" customWidth="1"/>
    <col min="13557" max="13557" width="0" style="3" hidden="1" customWidth="1"/>
    <col min="13558" max="13558" width="18.85546875" style="3" customWidth="1"/>
    <col min="13559" max="13559" width="18.140625" style="3" customWidth="1"/>
    <col min="13560" max="13560" width="17.7109375" style="3" customWidth="1"/>
    <col min="13561" max="13561" width="18" style="3" customWidth="1"/>
    <col min="13562" max="13562" width="0" style="3" hidden="1" customWidth="1"/>
    <col min="13563" max="13563" width="17.42578125" style="3" customWidth="1"/>
    <col min="13564" max="13564" width="14.5703125" style="3" customWidth="1"/>
    <col min="13565" max="13568" width="16.85546875" style="3" customWidth="1"/>
    <col min="13569" max="13569" width="17.140625" style="3" customWidth="1"/>
    <col min="13570" max="13574" width="0" style="3" hidden="1" customWidth="1"/>
    <col min="13575" max="13575" width="13.140625" style="3" bestFit="1" customWidth="1"/>
    <col min="13576" max="13576" width="16.140625" style="3" customWidth="1"/>
    <col min="13577" max="13809" width="9.140625" style="3"/>
    <col min="13810" max="13810" width="18.85546875" style="3" customWidth="1"/>
    <col min="13811" max="13811" width="28" style="3" customWidth="1"/>
    <col min="13812" max="13812" width="16.42578125" style="3" customWidth="1"/>
    <col min="13813" max="13813" width="0" style="3" hidden="1" customWidth="1"/>
    <col min="13814" max="13814" width="18.85546875" style="3" customWidth="1"/>
    <col min="13815" max="13815" width="18.140625" style="3" customWidth="1"/>
    <col min="13816" max="13816" width="17.7109375" style="3" customWidth="1"/>
    <col min="13817" max="13817" width="18" style="3" customWidth="1"/>
    <col min="13818" max="13818" width="0" style="3" hidden="1" customWidth="1"/>
    <col min="13819" max="13819" width="17.42578125" style="3" customWidth="1"/>
    <col min="13820" max="13820" width="14.5703125" style="3" customWidth="1"/>
    <col min="13821" max="13824" width="16.85546875" style="3" customWidth="1"/>
    <col min="13825" max="13825" width="17.140625" style="3" customWidth="1"/>
    <col min="13826" max="13830" width="0" style="3" hidden="1" customWidth="1"/>
    <col min="13831" max="13831" width="13.140625" style="3" bestFit="1" customWidth="1"/>
    <col min="13832" max="13832" width="16.140625" style="3" customWidth="1"/>
    <col min="13833" max="14065" width="9.140625" style="3"/>
    <col min="14066" max="14066" width="18.85546875" style="3" customWidth="1"/>
    <col min="14067" max="14067" width="28" style="3" customWidth="1"/>
    <col min="14068" max="14068" width="16.42578125" style="3" customWidth="1"/>
    <col min="14069" max="14069" width="0" style="3" hidden="1" customWidth="1"/>
    <col min="14070" max="14070" width="18.85546875" style="3" customWidth="1"/>
    <col min="14071" max="14071" width="18.140625" style="3" customWidth="1"/>
    <col min="14072" max="14072" width="17.7109375" style="3" customWidth="1"/>
    <col min="14073" max="14073" width="18" style="3" customWidth="1"/>
    <col min="14074" max="14074" width="0" style="3" hidden="1" customWidth="1"/>
    <col min="14075" max="14075" width="17.42578125" style="3" customWidth="1"/>
    <col min="14076" max="14076" width="14.5703125" style="3" customWidth="1"/>
    <col min="14077" max="14080" width="16.85546875" style="3" customWidth="1"/>
    <col min="14081" max="14081" width="17.140625" style="3" customWidth="1"/>
    <col min="14082" max="14086" width="0" style="3" hidden="1" customWidth="1"/>
    <col min="14087" max="14087" width="13.140625" style="3" bestFit="1" customWidth="1"/>
    <col min="14088" max="14088" width="16.140625" style="3" customWidth="1"/>
    <col min="14089" max="14321" width="9.140625" style="3"/>
    <col min="14322" max="14322" width="18.85546875" style="3" customWidth="1"/>
    <col min="14323" max="14323" width="28" style="3" customWidth="1"/>
    <col min="14324" max="14324" width="16.42578125" style="3" customWidth="1"/>
    <col min="14325" max="14325" width="0" style="3" hidden="1" customWidth="1"/>
    <col min="14326" max="14326" width="18.85546875" style="3" customWidth="1"/>
    <col min="14327" max="14327" width="18.140625" style="3" customWidth="1"/>
    <col min="14328" max="14328" width="17.7109375" style="3" customWidth="1"/>
    <col min="14329" max="14329" width="18" style="3" customWidth="1"/>
    <col min="14330" max="14330" width="0" style="3" hidden="1" customWidth="1"/>
    <col min="14331" max="14331" width="17.42578125" style="3" customWidth="1"/>
    <col min="14332" max="14332" width="14.5703125" style="3" customWidth="1"/>
    <col min="14333" max="14336" width="16.85546875" style="3" customWidth="1"/>
    <col min="14337" max="14337" width="17.140625" style="3" customWidth="1"/>
    <col min="14338" max="14342" width="0" style="3" hidden="1" customWidth="1"/>
    <col min="14343" max="14343" width="13.140625" style="3" bestFit="1" customWidth="1"/>
    <col min="14344" max="14344" width="16.140625" style="3" customWidth="1"/>
    <col min="14345" max="14577" width="9.140625" style="3"/>
    <col min="14578" max="14578" width="18.85546875" style="3" customWidth="1"/>
    <col min="14579" max="14579" width="28" style="3" customWidth="1"/>
    <col min="14580" max="14580" width="16.42578125" style="3" customWidth="1"/>
    <col min="14581" max="14581" width="0" style="3" hidden="1" customWidth="1"/>
    <col min="14582" max="14582" width="18.85546875" style="3" customWidth="1"/>
    <col min="14583" max="14583" width="18.140625" style="3" customWidth="1"/>
    <col min="14584" max="14584" width="17.7109375" style="3" customWidth="1"/>
    <col min="14585" max="14585" width="18" style="3" customWidth="1"/>
    <col min="14586" max="14586" width="0" style="3" hidden="1" customWidth="1"/>
    <col min="14587" max="14587" width="17.42578125" style="3" customWidth="1"/>
    <col min="14588" max="14588" width="14.5703125" style="3" customWidth="1"/>
    <col min="14589" max="14592" width="16.85546875" style="3" customWidth="1"/>
    <col min="14593" max="14593" width="17.140625" style="3" customWidth="1"/>
    <col min="14594" max="14598" width="0" style="3" hidden="1" customWidth="1"/>
    <col min="14599" max="14599" width="13.140625" style="3" bestFit="1" customWidth="1"/>
    <col min="14600" max="14600" width="16.140625" style="3" customWidth="1"/>
    <col min="14601" max="14833" width="9.140625" style="3"/>
    <col min="14834" max="14834" width="18.85546875" style="3" customWidth="1"/>
    <col min="14835" max="14835" width="28" style="3" customWidth="1"/>
    <col min="14836" max="14836" width="16.42578125" style="3" customWidth="1"/>
    <col min="14837" max="14837" width="0" style="3" hidden="1" customWidth="1"/>
    <col min="14838" max="14838" width="18.85546875" style="3" customWidth="1"/>
    <col min="14839" max="14839" width="18.140625" style="3" customWidth="1"/>
    <col min="14840" max="14840" width="17.7109375" style="3" customWidth="1"/>
    <col min="14841" max="14841" width="18" style="3" customWidth="1"/>
    <col min="14842" max="14842" width="0" style="3" hidden="1" customWidth="1"/>
    <col min="14843" max="14843" width="17.42578125" style="3" customWidth="1"/>
    <col min="14844" max="14844" width="14.5703125" style="3" customWidth="1"/>
    <col min="14845" max="14848" width="16.85546875" style="3" customWidth="1"/>
    <col min="14849" max="14849" width="17.140625" style="3" customWidth="1"/>
    <col min="14850" max="14854" width="0" style="3" hidden="1" customWidth="1"/>
    <col min="14855" max="14855" width="13.140625" style="3" bestFit="1" customWidth="1"/>
    <col min="14856" max="14856" width="16.140625" style="3" customWidth="1"/>
    <col min="14857" max="15089" width="9.140625" style="3"/>
    <col min="15090" max="15090" width="18.85546875" style="3" customWidth="1"/>
    <col min="15091" max="15091" width="28" style="3" customWidth="1"/>
    <col min="15092" max="15092" width="16.42578125" style="3" customWidth="1"/>
    <col min="15093" max="15093" width="0" style="3" hidden="1" customWidth="1"/>
    <col min="15094" max="15094" width="18.85546875" style="3" customWidth="1"/>
    <col min="15095" max="15095" width="18.140625" style="3" customWidth="1"/>
    <col min="15096" max="15096" width="17.7109375" style="3" customWidth="1"/>
    <col min="15097" max="15097" width="18" style="3" customWidth="1"/>
    <col min="15098" max="15098" width="0" style="3" hidden="1" customWidth="1"/>
    <col min="15099" max="15099" width="17.42578125" style="3" customWidth="1"/>
    <col min="15100" max="15100" width="14.5703125" style="3" customWidth="1"/>
    <col min="15101" max="15104" width="16.85546875" style="3" customWidth="1"/>
    <col min="15105" max="15105" width="17.140625" style="3" customWidth="1"/>
    <col min="15106" max="15110" width="0" style="3" hidden="1" customWidth="1"/>
    <col min="15111" max="15111" width="13.140625" style="3" bestFit="1" customWidth="1"/>
    <col min="15112" max="15112" width="16.140625" style="3" customWidth="1"/>
    <col min="15113" max="15345" width="9.140625" style="3"/>
    <col min="15346" max="15346" width="18.85546875" style="3" customWidth="1"/>
    <col min="15347" max="15347" width="28" style="3" customWidth="1"/>
    <col min="15348" max="15348" width="16.42578125" style="3" customWidth="1"/>
    <col min="15349" max="15349" width="0" style="3" hidden="1" customWidth="1"/>
    <col min="15350" max="15350" width="18.85546875" style="3" customWidth="1"/>
    <col min="15351" max="15351" width="18.140625" style="3" customWidth="1"/>
    <col min="15352" max="15352" width="17.7109375" style="3" customWidth="1"/>
    <col min="15353" max="15353" width="18" style="3" customWidth="1"/>
    <col min="15354" max="15354" width="0" style="3" hidden="1" customWidth="1"/>
    <col min="15355" max="15355" width="17.42578125" style="3" customWidth="1"/>
    <col min="15356" max="15356" width="14.5703125" style="3" customWidth="1"/>
    <col min="15357" max="15360" width="16.85546875" style="3" customWidth="1"/>
    <col min="15361" max="15361" width="17.140625" style="3" customWidth="1"/>
    <col min="15362" max="15366" width="0" style="3" hidden="1" customWidth="1"/>
    <col min="15367" max="15367" width="13.140625" style="3" bestFit="1" customWidth="1"/>
    <col min="15368" max="15368" width="16.140625" style="3" customWidth="1"/>
    <col min="15369" max="15601" width="9.140625" style="3"/>
    <col min="15602" max="15602" width="18.85546875" style="3" customWidth="1"/>
    <col min="15603" max="15603" width="28" style="3" customWidth="1"/>
    <col min="15604" max="15604" width="16.42578125" style="3" customWidth="1"/>
    <col min="15605" max="15605" width="0" style="3" hidden="1" customWidth="1"/>
    <col min="15606" max="15606" width="18.85546875" style="3" customWidth="1"/>
    <col min="15607" max="15607" width="18.140625" style="3" customWidth="1"/>
    <col min="15608" max="15608" width="17.7109375" style="3" customWidth="1"/>
    <col min="15609" max="15609" width="18" style="3" customWidth="1"/>
    <col min="15610" max="15610" width="0" style="3" hidden="1" customWidth="1"/>
    <col min="15611" max="15611" width="17.42578125" style="3" customWidth="1"/>
    <col min="15612" max="15612" width="14.5703125" style="3" customWidth="1"/>
    <col min="15613" max="15616" width="16.85546875" style="3" customWidth="1"/>
    <col min="15617" max="15617" width="17.140625" style="3" customWidth="1"/>
    <col min="15618" max="15622" width="0" style="3" hidden="1" customWidth="1"/>
    <col min="15623" max="15623" width="13.140625" style="3" bestFit="1" customWidth="1"/>
    <col min="15624" max="15624" width="16.140625" style="3" customWidth="1"/>
    <col min="15625" max="15857" width="9.140625" style="3"/>
    <col min="15858" max="15858" width="18.85546875" style="3" customWidth="1"/>
    <col min="15859" max="15859" width="28" style="3" customWidth="1"/>
    <col min="15860" max="15860" width="16.42578125" style="3" customWidth="1"/>
    <col min="15861" max="15861" width="0" style="3" hidden="1" customWidth="1"/>
    <col min="15862" max="15862" width="18.85546875" style="3" customWidth="1"/>
    <col min="15863" max="15863" width="18.140625" style="3" customWidth="1"/>
    <col min="15864" max="15864" width="17.7109375" style="3" customWidth="1"/>
    <col min="15865" max="15865" width="18" style="3" customWidth="1"/>
    <col min="15866" max="15866" width="0" style="3" hidden="1" customWidth="1"/>
    <col min="15867" max="15867" width="17.42578125" style="3" customWidth="1"/>
    <col min="15868" max="15868" width="14.5703125" style="3" customWidth="1"/>
    <col min="15869" max="15872" width="16.85546875" style="3" customWidth="1"/>
    <col min="15873" max="15873" width="17.140625" style="3" customWidth="1"/>
    <col min="15874" max="15878" width="0" style="3" hidden="1" customWidth="1"/>
    <col min="15879" max="15879" width="13.140625" style="3" bestFit="1" customWidth="1"/>
    <col min="15880" max="15880" width="16.140625" style="3" customWidth="1"/>
    <col min="15881" max="16113" width="9.140625" style="3"/>
    <col min="16114" max="16114" width="18.85546875" style="3" customWidth="1"/>
    <col min="16115" max="16115" width="28" style="3" customWidth="1"/>
    <col min="16116" max="16116" width="16.42578125" style="3" customWidth="1"/>
    <col min="16117" max="16117" width="0" style="3" hidden="1" customWidth="1"/>
    <col min="16118" max="16118" width="18.85546875" style="3" customWidth="1"/>
    <col min="16119" max="16119" width="18.140625" style="3" customWidth="1"/>
    <col min="16120" max="16120" width="17.7109375" style="3" customWidth="1"/>
    <col min="16121" max="16121" width="18" style="3" customWidth="1"/>
    <col min="16122" max="16122" width="0" style="3" hidden="1" customWidth="1"/>
    <col min="16123" max="16123" width="17.42578125" style="3" customWidth="1"/>
    <col min="16124" max="16124" width="14.5703125" style="3" customWidth="1"/>
    <col min="16125" max="16128" width="16.85546875" style="3" customWidth="1"/>
    <col min="16129" max="16129" width="17.140625" style="3" customWidth="1"/>
    <col min="16130" max="16134" width="0" style="3" hidden="1" customWidth="1"/>
    <col min="16135" max="16135" width="13.140625" style="3" bestFit="1" customWidth="1"/>
    <col min="16136" max="16136" width="16.140625" style="3" customWidth="1"/>
    <col min="16137" max="16384" width="9.140625" style="3"/>
  </cols>
  <sheetData>
    <row r="1" spans="1:15" s="30" customFormat="1" ht="18.75" customHeight="1" x14ac:dyDescent="0.3">
      <c r="A1" s="251" t="s">
        <v>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s="30" customFormat="1" ht="18.75" x14ac:dyDescent="0.3">
      <c r="A2" s="251" t="s">
        <v>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5" s="30" customFormat="1" ht="18.75" x14ac:dyDescent="0.3">
      <c r="A3" s="251" t="s">
        <v>54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5" s="30" customFormat="1" ht="15" customHeight="1" thickBot="1" x14ac:dyDescent="0.3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75" customHeight="1" x14ac:dyDescent="0.25">
      <c r="A5" s="252" t="s">
        <v>0</v>
      </c>
      <c r="B5" s="255" t="s">
        <v>8</v>
      </c>
      <c r="C5" s="257" t="s">
        <v>89</v>
      </c>
      <c r="D5" s="257"/>
      <c r="E5" s="257"/>
      <c r="F5" s="257"/>
      <c r="G5" s="257"/>
      <c r="H5" s="257" t="s">
        <v>90</v>
      </c>
      <c r="I5" s="257"/>
      <c r="J5" s="257"/>
      <c r="K5" s="257"/>
      <c r="L5" s="262" t="s">
        <v>55</v>
      </c>
      <c r="M5" s="262"/>
      <c r="N5" s="262"/>
      <c r="O5" s="263"/>
    </row>
    <row r="6" spans="1:15" ht="78.75" x14ac:dyDescent="0.25">
      <c r="A6" s="253"/>
      <c r="B6" s="256"/>
      <c r="C6" s="4" t="s">
        <v>13</v>
      </c>
      <c r="D6" s="5" t="s">
        <v>14</v>
      </c>
      <c r="E6" s="264" t="s">
        <v>15</v>
      </c>
      <c r="F6" s="266" t="s">
        <v>16</v>
      </c>
      <c r="G6" s="267" t="s">
        <v>17</v>
      </c>
      <c r="H6" s="4" t="s">
        <v>18</v>
      </c>
      <c r="I6" s="264" t="s">
        <v>15</v>
      </c>
      <c r="J6" s="266" t="s">
        <v>16</v>
      </c>
      <c r="K6" s="267" t="s">
        <v>17</v>
      </c>
      <c r="L6" s="4" t="s">
        <v>102</v>
      </c>
      <c r="M6" s="2" t="s">
        <v>10</v>
      </c>
      <c r="N6" s="2" t="s">
        <v>11</v>
      </c>
      <c r="O6" s="95" t="s">
        <v>12</v>
      </c>
    </row>
    <row r="7" spans="1:15" ht="16.5" thickBot="1" x14ac:dyDescent="0.3">
      <c r="A7" s="254"/>
      <c r="B7" s="256"/>
      <c r="C7" s="2" t="s">
        <v>19</v>
      </c>
      <c r="D7" s="105" t="s">
        <v>19</v>
      </c>
      <c r="E7" s="265"/>
      <c r="F7" s="256"/>
      <c r="G7" s="268"/>
      <c r="H7" s="2" t="s">
        <v>19</v>
      </c>
      <c r="I7" s="265"/>
      <c r="J7" s="256"/>
      <c r="K7" s="268"/>
      <c r="L7" s="2" t="s">
        <v>19</v>
      </c>
      <c r="M7" s="66"/>
      <c r="N7" s="66"/>
      <c r="O7" s="106"/>
    </row>
    <row r="8" spans="1:15" ht="16.5" thickBot="1" x14ac:dyDescent="0.3">
      <c r="A8" s="259" t="s">
        <v>20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</row>
    <row r="9" spans="1:15" ht="25.5" x14ac:dyDescent="0.25">
      <c r="A9" s="107" t="s">
        <v>21</v>
      </c>
      <c r="B9" s="70" t="s">
        <v>61</v>
      </c>
      <c r="C9" s="67">
        <v>802700</v>
      </c>
      <c r="D9" s="8"/>
      <c r="E9" s="68">
        <f>F9/C9</f>
        <v>1.8485500062289772</v>
      </c>
      <c r="F9" s="23">
        <v>1483831.09</v>
      </c>
      <c r="G9" s="23">
        <f>F9*1.18</f>
        <v>1750920.6862000001</v>
      </c>
      <c r="H9" s="67">
        <v>419314</v>
      </c>
      <c r="I9" s="69">
        <f>J9/H9</f>
        <v>1.6169600108749052</v>
      </c>
      <c r="J9" s="23">
        <v>678013.97</v>
      </c>
      <c r="K9" s="23">
        <f>J9*1.18</f>
        <v>800056.48459999997</v>
      </c>
      <c r="L9" s="108">
        <f>C9+H9</f>
        <v>1222014</v>
      </c>
      <c r="M9" s="109">
        <f>F9+J9</f>
        <v>2161845.06</v>
      </c>
      <c r="N9" s="109">
        <f>O9-M9</f>
        <v>389132.11079999991</v>
      </c>
      <c r="O9" s="101">
        <f>K9+G9</f>
        <v>2550977.1708</v>
      </c>
    </row>
    <row r="10" spans="1:15" ht="25.5" x14ac:dyDescent="0.25">
      <c r="A10" s="97" t="s">
        <v>23</v>
      </c>
      <c r="B10" s="70" t="s">
        <v>62</v>
      </c>
      <c r="C10" s="67">
        <v>83769</v>
      </c>
      <c r="D10" s="139"/>
      <c r="E10" s="68">
        <f t="shared" ref="E10:E23" si="0">F10/C10</f>
        <v>2.2967799543984051</v>
      </c>
      <c r="F10" s="23">
        <v>192398.96</v>
      </c>
      <c r="G10" s="23">
        <f t="shared" ref="G10:G15" si="1">F10*1.18</f>
        <v>227030.77279999998</v>
      </c>
      <c r="H10" s="67">
        <v>0</v>
      </c>
      <c r="I10" s="69">
        <v>0</v>
      </c>
      <c r="J10" s="23">
        <v>0</v>
      </c>
      <c r="K10" s="23">
        <f t="shared" ref="K10:K19" si="2">J10*1.18</f>
        <v>0</v>
      </c>
      <c r="L10" s="12">
        <f>C10+H10</f>
        <v>83769</v>
      </c>
      <c r="M10" s="13">
        <f>F10+J10</f>
        <v>192398.96</v>
      </c>
      <c r="N10" s="13">
        <f>O10-M10</f>
        <v>34631.812799999985</v>
      </c>
      <c r="O10" s="96">
        <f>K10+G10</f>
        <v>227030.77279999998</v>
      </c>
    </row>
    <row r="11" spans="1:15" ht="26.25" thickBot="1" x14ac:dyDescent="0.3">
      <c r="A11" s="110" t="s">
        <v>25</v>
      </c>
      <c r="B11" s="140" t="s">
        <v>63</v>
      </c>
      <c r="C11" s="141">
        <v>694000</v>
      </c>
      <c r="D11" s="142"/>
      <c r="E11" s="143">
        <f t="shared" si="0"/>
        <v>1.95187</v>
      </c>
      <c r="F11" s="144">
        <v>1354597.78</v>
      </c>
      <c r="G11" s="144">
        <f t="shared" si="1"/>
        <v>1598425.3803999999</v>
      </c>
      <c r="H11" s="141">
        <v>1012937</v>
      </c>
      <c r="I11" s="145">
        <f>J11/H11</f>
        <v>1.7292500027148776</v>
      </c>
      <c r="J11" s="144">
        <v>1751621.31</v>
      </c>
      <c r="K11" s="144">
        <f t="shared" si="2"/>
        <v>2066913.1458000001</v>
      </c>
      <c r="L11" s="118">
        <f>C11+H11</f>
        <v>1706937</v>
      </c>
      <c r="M11" s="119">
        <f>F11+J11</f>
        <v>3106219.09</v>
      </c>
      <c r="N11" s="119">
        <f>O11-M11</f>
        <v>559119.43620000035</v>
      </c>
      <c r="O11" s="120">
        <f>K11+G11</f>
        <v>3665338.5262000002</v>
      </c>
    </row>
    <row r="12" spans="1:15" s="30" customFormat="1" ht="16.5" thickBot="1" x14ac:dyDescent="0.3">
      <c r="A12" s="130" t="s">
        <v>57</v>
      </c>
      <c r="B12" s="131"/>
      <c r="C12" s="132">
        <f>SUM(C9:C11)</f>
        <v>1580469</v>
      </c>
      <c r="D12" s="132" t="e">
        <f>#REF!+D10+D11</f>
        <v>#REF!</v>
      </c>
      <c r="E12" s="132"/>
      <c r="F12" s="133">
        <f>SUM(F9:F11)</f>
        <v>3030827.83</v>
      </c>
      <c r="G12" s="133">
        <f>SUM(G9:G11)</f>
        <v>3576376.8393999999</v>
      </c>
      <c r="H12" s="132">
        <f>SUM(H9:H11)</f>
        <v>1432251</v>
      </c>
      <c r="I12" s="132"/>
      <c r="J12" s="133">
        <f t="shared" ref="J12:O12" si="3">SUM(J9:J11)</f>
        <v>2429635.2800000003</v>
      </c>
      <c r="K12" s="133">
        <f t="shared" si="3"/>
        <v>2866969.6304000001</v>
      </c>
      <c r="L12" s="132">
        <f t="shared" si="3"/>
        <v>3012720</v>
      </c>
      <c r="M12" s="133">
        <f t="shared" si="3"/>
        <v>5460463.1099999994</v>
      </c>
      <c r="N12" s="133">
        <f t="shared" si="3"/>
        <v>982883.35980000021</v>
      </c>
      <c r="O12" s="134">
        <f t="shared" si="3"/>
        <v>6443346.4698000001</v>
      </c>
    </row>
    <row r="13" spans="1:15" ht="25.5" x14ac:dyDescent="0.25">
      <c r="A13" s="97" t="s">
        <v>27</v>
      </c>
      <c r="B13" s="70" t="s">
        <v>64</v>
      </c>
      <c r="C13" s="67">
        <f>584941+3059</f>
        <v>588000</v>
      </c>
      <c r="D13" s="148"/>
      <c r="E13" s="68">
        <f t="shared" si="0"/>
        <v>2.1288800000000001</v>
      </c>
      <c r="F13" s="23">
        <f>1245269.19+6512.25</f>
        <v>1251781.44</v>
      </c>
      <c r="G13" s="23">
        <f t="shared" si="1"/>
        <v>1477102.0991999998</v>
      </c>
      <c r="H13" s="67">
        <f>42194+221</f>
        <v>42415</v>
      </c>
      <c r="I13" s="68">
        <f>J13/H13</f>
        <v>1.9216600259342216</v>
      </c>
      <c r="J13" s="23">
        <f>81082.52+424.69</f>
        <v>81507.210000000006</v>
      </c>
      <c r="K13" s="23">
        <f t="shared" si="2"/>
        <v>96178.507800000007</v>
      </c>
      <c r="L13" s="108">
        <f>C13+H13</f>
        <v>630415</v>
      </c>
      <c r="M13" s="109">
        <f>F13+J13</f>
        <v>1333288.6499999999</v>
      </c>
      <c r="N13" s="109">
        <f>O13-M13</f>
        <v>239991.95699999994</v>
      </c>
      <c r="O13" s="101">
        <f>K13+G13</f>
        <v>1573280.6069999998</v>
      </c>
    </row>
    <row r="14" spans="1:15" ht="25.5" x14ac:dyDescent="0.25">
      <c r="A14" s="100" t="s">
        <v>1</v>
      </c>
      <c r="B14" s="70" t="s">
        <v>65</v>
      </c>
      <c r="C14" s="67">
        <f>473813+2187</f>
        <v>476000</v>
      </c>
      <c r="D14" s="71"/>
      <c r="E14" s="68">
        <f t="shared" si="0"/>
        <v>2.0329600000000001</v>
      </c>
      <c r="F14" s="23">
        <f>963242.88+4446.08</f>
        <v>967688.96</v>
      </c>
      <c r="G14" s="24">
        <f t="shared" si="1"/>
        <v>1141872.9727999999</v>
      </c>
      <c r="H14" s="67">
        <f>362442+1673</f>
        <v>364115</v>
      </c>
      <c r="I14" s="68">
        <f>J14/H14</f>
        <v>1.8173700067286434</v>
      </c>
      <c r="J14" s="23">
        <f>658691.22+3040.46</f>
        <v>661731.67999999993</v>
      </c>
      <c r="K14" s="24">
        <f t="shared" si="2"/>
        <v>780843.38239999989</v>
      </c>
      <c r="L14" s="12">
        <f>C14+H14</f>
        <v>840115</v>
      </c>
      <c r="M14" s="13">
        <f>F14+J14</f>
        <v>1629420.64</v>
      </c>
      <c r="N14" s="13">
        <f>O14-M14</f>
        <v>293295.71519999974</v>
      </c>
      <c r="O14" s="96">
        <f>K14+G14</f>
        <v>1922716.3551999996</v>
      </c>
    </row>
    <row r="15" spans="1:15" ht="26.25" thickBot="1" x14ac:dyDescent="0.3">
      <c r="A15" s="110" t="s">
        <v>30</v>
      </c>
      <c r="B15" s="140" t="s">
        <v>66</v>
      </c>
      <c r="C15" s="141">
        <v>457000</v>
      </c>
      <c r="D15" s="146"/>
      <c r="E15" s="143">
        <f t="shared" si="0"/>
        <v>1.9434</v>
      </c>
      <c r="F15" s="144">
        <v>888133.8</v>
      </c>
      <c r="G15" s="116">
        <f t="shared" si="1"/>
        <v>1047997.884</v>
      </c>
      <c r="H15" s="141">
        <v>319701</v>
      </c>
      <c r="I15" s="143">
        <f>J15/H15</f>
        <v>1.72</v>
      </c>
      <c r="J15" s="144">
        <v>549885.72</v>
      </c>
      <c r="K15" s="116">
        <f t="shared" si="2"/>
        <v>648865.14959999989</v>
      </c>
      <c r="L15" s="118">
        <f>C15+H15</f>
        <v>776701</v>
      </c>
      <c r="M15" s="119">
        <f>F15+J15</f>
        <v>1438019.52</v>
      </c>
      <c r="N15" s="119">
        <f>O15-M15</f>
        <v>258843.51359999971</v>
      </c>
      <c r="O15" s="120">
        <f>K15+G15</f>
        <v>1696863.0335999997</v>
      </c>
    </row>
    <row r="16" spans="1:15" s="30" customFormat="1" ht="16.5" thickBot="1" x14ac:dyDescent="0.3">
      <c r="A16" s="130" t="s">
        <v>58</v>
      </c>
      <c r="B16" s="131"/>
      <c r="C16" s="132">
        <f>SUM(C13:C15)</f>
        <v>1521000</v>
      </c>
      <c r="D16" s="132">
        <f t="shared" ref="D16:K16" si="4">SUM(D13:D15)</f>
        <v>0</v>
      </c>
      <c r="E16" s="132"/>
      <c r="F16" s="133">
        <f t="shared" si="4"/>
        <v>3107604.2</v>
      </c>
      <c r="G16" s="133">
        <f t="shared" si="4"/>
        <v>3666972.9559999998</v>
      </c>
      <c r="H16" s="132">
        <f t="shared" si="4"/>
        <v>726231</v>
      </c>
      <c r="I16" s="132"/>
      <c r="J16" s="133">
        <f t="shared" si="4"/>
        <v>1293124.6099999999</v>
      </c>
      <c r="K16" s="133">
        <f t="shared" si="4"/>
        <v>1525887.0397999999</v>
      </c>
      <c r="L16" s="132">
        <f>SUM(L13:L15)</f>
        <v>2247231</v>
      </c>
      <c r="M16" s="133">
        <f>SUM(M13:M15)</f>
        <v>4400728.8100000005</v>
      </c>
      <c r="N16" s="133">
        <f>SUM(N13:N15)</f>
        <v>792131.1857999994</v>
      </c>
      <c r="O16" s="134">
        <f>SUM(O13:O15)</f>
        <v>5192859.9957999997</v>
      </c>
    </row>
    <row r="17" spans="1:15" s="1" customFormat="1" ht="25.5" x14ac:dyDescent="0.25">
      <c r="A17" s="97" t="s">
        <v>2</v>
      </c>
      <c r="B17" s="70" t="s">
        <v>67</v>
      </c>
      <c r="C17" s="67">
        <v>221382</v>
      </c>
      <c r="D17" s="149"/>
      <c r="E17" s="68">
        <f t="shared" si="0"/>
        <v>1.8750200106603065</v>
      </c>
      <c r="F17" s="23">
        <v>415095.68</v>
      </c>
      <c r="G17" s="23">
        <f t="shared" ref="G17:G23" si="5">F17*1.18</f>
        <v>489812.90239999996</v>
      </c>
      <c r="H17" s="67">
        <v>0</v>
      </c>
      <c r="I17" s="68">
        <v>0</v>
      </c>
      <c r="J17" s="23">
        <v>0</v>
      </c>
      <c r="K17" s="23">
        <f t="shared" si="2"/>
        <v>0</v>
      </c>
      <c r="L17" s="7">
        <f>C17+H17</f>
        <v>221382</v>
      </c>
      <c r="M17" s="11">
        <f>F17+J17</f>
        <v>415095.68</v>
      </c>
      <c r="N17" s="109">
        <f>O17-M17</f>
        <v>74717.22239999997</v>
      </c>
      <c r="O17" s="101">
        <f>K17+G17</f>
        <v>489812.90239999996</v>
      </c>
    </row>
    <row r="18" spans="1:15" ht="25.5" x14ac:dyDescent="0.25">
      <c r="A18" s="100" t="s">
        <v>3</v>
      </c>
      <c r="B18" s="70" t="s">
        <v>68</v>
      </c>
      <c r="C18" s="67">
        <v>451000</v>
      </c>
      <c r="D18" s="72"/>
      <c r="E18" s="68">
        <f t="shared" si="0"/>
        <v>1.99292</v>
      </c>
      <c r="F18" s="23">
        <v>898806.92</v>
      </c>
      <c r="G18" s="24">
        <f t="shared" si="5"/>
        <v>1060592.1655999999</v>
      </c>
      <c r="H18" s="67">
        <v>682222</v>
      </c>
      <c r="I18" s="68">
        <f>J18/H18</f>
        <v>2.1310800003517913</v>
      </c>
      <c r="J18" s="23">
        <v>1453869.66</v>
      </c>
      <c r="K18" s="24">
        <f t="shared" si="2"/>
        <v>1715566.1987999999</v>
      </c>
      <c r="L18" s="12">
        <f>C18+H18</f>
        <v>1133222</v>
      </c>
      <c r="M18" s="13">
        <f>F18+J18</f>
        <v>2352676.58</v>
      </c>
      <c r="N18" s="13">
        <f t="shared" ref="N18:N23" si="6">O18-M18</f>
        <v>423481.78439999977</v>
      </c>
      <c r="O18" s="96">
        <f>K18+G18</f>
        <v>2776158.3643999998</v>
      </c>
    </row>
    <row r="19" spans="1:15" ht="26.25" thickBot="1" x14ac:dyDescent="0.3">
      <c r="A19" s="110" t="s">
        <v>35</v>
      </c>
      <c r="B19" s="140" t="s">
        <v>69</v>
      </c>
      <c r="C19" s="141">
        <v>503188</v>
      </c>
      <c r="D19" s="147"/>
      <c r="E19" s="143">
        <f t="shared" si="0"/>
        <v>2.0631999968202739</v>
      </c>
      <c r="F19" s="144">
        <v>1038177.48</v>
      </c>
      <c r="G19" s="116">
        <f t="shared" si="5"/>
        <v>1225049.4264</v>
      </c>
      <c r="H19" s="141">
        <v>0</v>
      </c>
      <c r="I19" s="143">
        <v>0</v>
      </c>
      <c r="J19" s="144">
        <v>0</v>
      </c>
      <c r="K19" s="116">
        <f t="shared" si="2"/>
        <v>0</v>
      </c>
      <c r="L19" s="118">
        <f>C19+H19</f>
        <v>503188</v>
      </c>
      <c r="M19" s="119">
        <f>F19+J19</f>
        <v>1038177.48</v>
      </c>
      <c r="N19" s="119">
        <f t="shared" si="6"/>
        <v>186871.94640000002</v>
      </c>
      <c r="O19" s="120">
        <f>K19+G19</f>
        <v>1225049.4264</v>
      </c>
    </row>
    <row r="20" spans="1:15" s="30" customFormat="1" ht="16.5" thickBot="1" x14ac:dyDescent="0.3">
      <c r="A20" s="130" t="s">
        <v>59</v>
      </c>
      <c r="B20" s="131"/>
      <c r="C20" s="132">
        <f>C17+C18+C19</f>
        <v>1175570</v>
      </c>
      <c r="D20" s="151"/>
      <c r="E20" s="152"/>
      <c r="F20" s="133">
        <f>F17+F18+F19</f>
        <v>2352080.08</v>
      </c>
      <c r="G20" s="133">
        <f>G17+G18+G19</f>
        <v>2775454.4944000002</v>
      </c>
      <c r="H20" s="132">
        <f>H17+H18+H19</f>
        <v>682222</v>
      </c>
      <c r="I20" s="152"/>
      <c r="J20" s="133">
        <f>J17+J18+J19</f>
        <v>1453869.66</v>
      </c>
      <c r="K20" s="133">
        <f>K17+K18+K19</f>
        <v>1715566.1987999999</v>
      </c>
      <c r="L20" s="132">
        <f>SUM(L17:L19)</f>
        <v>1857792</v>
      </c>
      <c r="M20" s="133">
        <f>SUM(M17:M19)</f>
        <v>3805949.74</v>
      </c>
      <c r="N20" s="133">
        <f>SUM(N17:N19)</f>
        <v>685070.95319999976</v>
      </c>
      <c r="O20" s="138">
        <f>SUM(O17:O19)</f>
        <v>4491020.6931999996</v>
      </c>
    </row>
    <row r="21" spans="1:15" ht="25.5" x14ac:dyDescent="0.25">
      <c r="A21" s="97" t="s">
        <v>37</v>
      </c>
      <c r="B21" s="70" t="s">
        <v>70</v>
      </c>
      <c r="C21" s="67">
        <f>627077+34923</f>
        <v>662000</v>
      </c>
      <c r="D21" s="150"/>
      <c r="E21" s="68">
        <f t="shared" si="0"/>
        <v>2.14283</v>
      </c>
      <c r="F21" s="23">
        <f>1343676.18+74877.28</f>
        <v>1418553.46</v>
      </c>
      <c r="G21" s="23">
        <f t="shared" si="5"/>
        <v>1673893.0828</v>
      </c>
      <c r="H21" s="67">
        <f>68753+3829</f>
        <v>72582</v>
      </c>
      <c r="I21" s="68">
        <f>J21/H21</f>
        <v>2.3016600534567804</v>
      </c>
      <c r="J21" s="23">
        <f>158232.92+8826.17</f>
        <v>167059.09000000003</v>
      </c>
      <c r="K21" s="23">
        <f>J21*1.18</f>
        <v>197129.72620000003</v>
      </c>
      <c r="L21" s="108">
        <f>C21+H21</f>
        <v>734582</v>
      </c>
      <c r="M21" s="109">
        <f>F21+J21</f>
        <v>1585612.55</v>
      </c>
      <c r="N21" s="109">
        <f t="shared" si="6"/>
        <v>285410.25899999985</v>
      </c>
      <c r="O21" s="101">
        <f>K21+G21</f>
        <v>1871022.8089999999</v>
      </c>
    </row>
    <row r="22" spans="1:15" ht="25.5" x14ac:dyDescent="0.25">
      <c r="A22" s="100" t="s">
        <v>39</v>
      </c>
      <c r="B22" s="70" t="s">
        <v>71</v>
      </c>
      <c r="C22" s="67">
        <f>724229+3771</f>
        <v>728000</v>
      </c>
      <c r="D22" s="72"/>
      <c r="E22" s="68">
        <f t="shared" si="0"/>
        <v>2.0214600000000003</v>
      </c>
      <c r="F22" s="23">
        <f>1463985.01+7637.87</f>
        <v>1471622.8800000001</v>
      </c>
      <c r="G22" s="24">
        <f t="shared" si="5"/>
        <v>1736514.9984000002</v>
      </c>
      <c r="H22" s="67">
        <f>451085+2348</f>
        <v>453433</v>
      </c>
      <c r="I22" s="68">
        <f>J22/H22</f>
        <v>2.1636200056017096</v>
      </c>
      <c r="J22" s="23">
        <f>975982.64+5074.07</f>
        <v>981056.71</v>
      </c>
      <c r="K22" s="24">
        <f>J22*1.18</f>
        <v>1157646.9177999999</v>
      </c>
      <c r="L22" s="12">
        <f>C22+H22</f>
        <v>1181433</v>
      </c>
      <c r="M22" s="13">
        <f>F22+J22</f>
        <v>2452679.59</v>
      </c>
      <c r="N22" s="13">
        <f t="shared" si="6"/>
        <v>441482.32620000001</v>
      </c>
      <c r="O22" s="96">
        <f>K22+G22</f>
        <v>2894161.9161999999</v>
      </c>
    </row>
    <row r="23" spans="1:15" ht="26.25" thickBot="1" x14ac:dyDescent="0.3">
      <c r="A23" s="110" t="s">
        <v>41</v>
      </c>
      <c r="B23" s="140" t="s">
        <v>72</v>
      </c>
      <c r="C23" s="141">
        <f>839771+7229</f>
        <v>847000</v>
      </c>
      <c r="D23" s="147"/>
      <c r="E23" s="143">
        <f t="shared" si="0"/>
        <v>1.8566799999999999</v>
      </c>
      <c r="F23" s="144">
        <f>1559191.43+13416.53</f>
        <v>1572607.96</v>
      </c>
      <c r="G23" s="116">
        <f t="shared" si="5"/>
        <v>1855677.3927999998</v>
      </c>
      <c r="H23" s="141">
        <f>686023+5906</f>
        <v>691929</v>
      </c>
      <c r="I23" s="143">
        <f>J23/H23</f>
        <v>1.9762000002890472</v>
      </c>
      <c r="J23" s="144">
        <f>1355728.24+11661.85</f>
        <v>1367390.09</v>
      </c>
      <c r="K23" s="116">
        <f>J23*1.18</f>
        <v>1613520.3062</v>
      </c>
      <c r="L23" s="118">
        <f>C23+H23</f>
        <v>1538929</v>
      </c>
      <c r="M23" s="119">
        <f>F23+J23</f>
        <v>2939998.05</v>
      </c>
      <c r="N23" s="119">
        <f t="shared" si="6"/>
        <v>529199.64900000021</v>
      </c>
      <c r="O23" s="120">
        <f>K23+G23</f>
        <v>3469197.699</v>
      </c>
    </row>
    <row r="24" spans="1:15" s="30" customFormat="1" ht="16.5" thickBot="1" x14ac:dyDescent="0.3">
      <c r="A24" s="130" t="s">
        <v>60</v>
      </c>
      <c r="B24" s="131"/>
      <c r="C24" s="132">
        <f>SUM(C21:C23)</f>
        <v>2237000</v>
      </c>
      <c r="D24" s="151"/>
      <c r="E24" s="152"/>
      <c r="F24" s="133">
        <f>SUM(F21:F23)</f>
        <v>4462784.3</v>
      </c>
      <c r="G24" s="133">
        <f>SUM(G21:G23)</f>
        <v>5266085.4739999995</v>
      </c>
      <c r="H24" s="132">
        <f>SUM(H21:H23)</f>
        <v>1217944</v>
      </c>
      <c r="I24" s="152"/>
      <c r="J24" s="133">
        <f t="shared" ref="J24:O24" si="7">SUM(J21:J23)</f>
        <v>2515505.89</v>
      </c>
      <c r="K24" s="133">
        <f t="shared" si="7"/>
        <v>2968296.9501999998</v>
      </c>
      <c r="L24" s="132">
        <f t="shared" si="7"/>
        <v>3454944</v>
      </c>
      <c r="M24" s="133">
        <f t="shared" si="7"/>
        <v>6978290.1899999995</v>
      </c>
      <c r="N24" s="133">
        <f t="shared" si="7"/>
        <v>1256092.2342000001</v>
      </c>
      <c r="O24" s="138">
        <f t="shared" si="7"/>
        <v>8234382.4241999993</v>
      </c>
    </row>
    <row r="25" spans="1:15" s="21" customFormat="1" ht="16.5" thickBot="1" x14ac:dyDescent="0.3">
      <c r="A25" s="126" t="s">
        <v>43</v>
      </c>
      <c r="B25" s="103"/>
      <c r="C25" s="104">
        <f>B12:C12+C16+C20+C24</f>
        <v>6514039</v>
      </c>
      <c r="D25" s="127">
        <f>SUM(D10:D10)</f>
        <v>0</v>
      </c>
      <c r="E25" s="127"/>
      <c r="F25" s="128">
        <f>F12+F16+F20+F24</f>
        <v>12953296.41</v>
      </c>
      <c r="G25" s="128">
        <f>G12+G16+G20+G24</f>
        <v>15284889.763799999</v>
      </c>
      <c r="H25" s="104">
        <f>H12+H16+H20+H24</f>
        <v>4058648</v>
      </c>
      <c r="I25" s="127"/>
      <c r="J25" s="128">
        <f t="shared" ref="J25:O25" si="8">J12+J16+J20+J24</f>
        <v>7692135.4399999995</v>
      </c>
      <c r="K25" s="128">
        <f t="shared" si="8"/>
        <v>9076719.8191999979</v>
      </c>
      <c r="L25" s="104">
        <f t="shared" si="8"/>
        <v>10572687</v>
      </c>
      <c r="M25" s="128">
        <f t="shared" si="8"/>
        <v>20645431.850000001</v>
      </c>
      <c r="N25" s="128">
        <f t="shared" si="8"/>
        <v>3716177.7329999991</v>
      </c>
      <c r="O25" s="129">
        <f t="shared" si="8"/>
        <v>24361609.582999997</v>
      </c>
    </row>
    <row r="26" spans="1:15" s="30" customFormat="1" x14ac:dyDescent="0.25">
      <c r="A26" s="33"/>
      <c r="B26" s="33"/>
      <c r="C26" s="34"/>
      <c r="D26" s="35"/>
      <c r="E26" s="35"/>
      <c r="F26" s="26"/>
      <c r="G26" s="26"/>
      <c r="H26" s="34"/>
      <c r="I26" s="35"/>
      <c r="J26" s="26"/>
      <c r="K26" s="26"/>
      <c r="L26" s="26"/>
      <c r="M26" s="26"/>
      <c r="N26" s="26"/>
      <c r="O26" s="26"/>
    </row>
    <row r="27" spans="1:15" s="30" customFormat="1" x14ac:dyDescent="0.25">
      <c r="A27" s="33"/>
      <c r="B27" s="33"/>
      <c r="C27" s="34"/>
      <c r="D27" s="36"/>
      <c r="E27" s="36"/>
      <c r="F27" s="31"/>
      <c r="G27" s="27"/>
      <c r="H27" s="34"/>
      <c r="I27" s="36"/>
      <c r="J27" s="31"/>
      <c r="K27" s="31"/>
      <c r="L27" s="31"/>
      <c r="M27" s="31"/>
      <c r="N27" s="31"/>
      <c r="O27" s="31"/>
    </row>
    <row r="28" spans="1:15" s="29" customFormat="1" ht="16.5" thickBot="1" x14ac:dyDescent="0.3">
      <c r="A28" s="37"/>
      <c r="B28" s="33"/>
      <c r="C28" s="258"/>
      <c r="D28" s="258"/>
      <c r="E28" s="258"/>
      <c r="F28" s="31"/>
      <c r="G28" s="28"/>
      <c r="H28" s="39"/>
      <c r="I28" s="40"/>
      <c r="J28" s="32"/>
      <c r="K28" s="32"/>
      <c r="L28" s="32"/>
      <c r="M28" s="32"/>
      <c r="N28" s="32"/>
      <c r="O28" s="32"/>
    </row>
    <row r="29" spans="1:15" s="29" customFormat="1" ht="15.75" customHeight="1" x14ac:dyDescent="0.25">
      <c r="A29" s="37"/>
      <c r="B29" s="275" t="s">
        <v>53</v>
      </c>
      <c r="C29" s="273" t="s">
        <v>79</v>
      </c>
      <c r="D29" s="75"/>
      <c r="E29" s="273" t="s">
        <v>78</v>
      </c>
      <c r="F29" s="273" t="s">
        <v>51</v>
      </c>
      <c r="G29" s="273" t="s">
        <v>52</v>
      </c>
      <c r="H29" s="277" t="s">
        <v>76</v>
      </c>
      <c r="I29" s="271" t="s">
        <v>77</v>
      </c>
      <c r="J29" s="269" t="s">
        <v>73</v>
      </c>
      <c r="K29" s="270"/>
      <c r="L29" s="32"/>
      <c r="M29" s="32"/>
      <c r="N29" s="32"/>
      <c r="O29" s="32"/>
    </row>
    <row r="30" spans="1:15" s="29" customFormat="1" ht="36" customHeight="1" thickBot="1" x14ac:dyDescent="0.3">
      <c r="A30" s="37"/>
      <c r="B30" s="276"/>
      <c r="C30" s="268"/>
      <c r="D30" s="73"/>
      <c r="E30" s="274"/>
      <c r="F30" s="268"/>
      <c r="G30" s="268"/>
      <c r="H30" s="278"/>
      <c r="I30" s="272"/>
      <c r="J30" s="77" t="s">
        <v>74</v>
      </c>
      <c r="K30" s="76" t="s">
        <v>75</v>
      </c>
      <c r="L30" s="32"/>
      <c r="M30" s="32"/>
      <c r="N30" s="32"/>
      <c r="O30" s="32"/>
    </row>
    <row r="31" spans="1:15" s="29" customFormat="1" ht="16.5" thickBot="1" x14ac:dyDescent="0.3">
      <c r="B31" s="83" t="s">
        <v>80</v>
      </c>
      <c r="C31" s="84">
        <f>C25+H25</f>
        <v>10572687</v>
      </c>
      <c r="D31" s="85"/>
      <c r="E31" s="86">
        <f>F31/C31</f>
        <v>1.9527138039743352</v>
      </c>
      <c r="F31" s="87">
        <f>F25+J25</f>
        <v>20645431.850000001</v>
      </c>
      <c r="G31" s="88">
        <f>G25+K25</f>
        <v>24361609.582999997</v>
      </c>
      <c r="H31" s="89">
        <f>(G31-'потери 2016'!G31)/'потери 2016'!G31</f>
        <v>0.11155570152323242</v>
      </c>
      <c r="I31" s="90">
        <f>F31-'потери 2016'!F31</f>
        <v>2071975.0216900036</v>
      </c>
      <c r="J31" s="87">
        <f>C31*E31-C31*'потери 2016'!E31</f>
        <v>2850278.9136174098</v>
      </c>
      <c r="K31" s="91">
        <f>C31*'потери 2016'!E31-'потери 2016'!C31*'потери 2016'!E31</f>
        <v>-778303.89192740619</v>
      </c>
      <c r="M31" s="41"/>
    </row>
    <row r="32" spans="1:15" s="30" customFormat="1" ht="32.25" thickBot="1" x14ac:dyDescent="0.3">
      <c r="B32" s="154" t="s">
        <v>50</v>
      </c>
      <c r="C32" s="155">
        <f>3059+221+2187+1673+34923+3829+3771+2348+7229+5906</f>
        <v>65146</v>
      </c>
      <c r="D32" s="156"/>
      <c r="E32" s="157">
        <f>F32/C32</f>
        <v>2.0863483560003684</v>
      </c>
      <c r="F32" s="158">
        <f>6512.25+424.69+4446.08+3040.46+74877.28+8826.17+7637.87+5074.07+13416.53+11661.85</f>
        <v>135917.25</v>
      </c>
      <c r="G32" s="159">
        <f>F32*1.18</f>
        <v>160382.35499999998</v>
      </c>
      <c r="H32" s="160">
        <f>(G32-'потери 2016'!G32)/'потери 2016'!G32</f>
        <v>-0.62625653229054079</v>
      </c>
      <c r="I32" s="161">
        <f>F32-'потери 2016'!F32</f>
        <v>-227747.3</v>
      </c>
      <c r="J32" s="158">
        <f>J31-J33</f>
        <v>23141.672670759261</v>
      </c>
      <c r="K32" s="162">
        <f>K31-K33</f>
        <v>-250888.97267076001</v>
      </c>
      <c r="M32" s="42"/>
    </row>
    <row r="33" spans="2:11" s="30" customFormat="1" ht="16.5" thickBot="1" x14ac:dyDescent="0.3">
      <c r="B33" s="164" t="s">
        <v>82</v>
      </c>
      <c r="C33" s="60">
        <f>C31-C32</f>
        <v>10507541</v>
      </c>
      <c r="D33" s="52"/>
      <c r="E33" s="78">
        <f>F33/C33</f>
        <v>1.9518852793436638</v>
      </c>
      <c r="F33" s="53">
        <f>F31-F32</f>
        <v>20509514.600000001</v>
      </c>
      <c r="G33" s="165">
        <f>G31-G32</f>
        <v>24201227.227999996</v>
      </c>
      <c r="H33" s="74">
        <f>(G33-'потери 2016'!G33)/'потери 2016'!G33</f>
        <v>0.12629041950837697</v>
      </c>
      <c r="I33" s="166">
        <f>F33-'потери 2016'!F33</f>
        <v>2299722.3216900043</v>
      </c>
      <c r="J33" s="53">
        <f>C33*E33-C33*'потери 2016'!E33</f>
        <v>2827137.2409466505</v>
      </c>
      <c r="K33" s="54">
        <f>C33*'потери 2016'!E33-'потери 2016'!C33*'потери 2016'!E33</f>
        <v>-527414.91925664619</v>
      </c>
    </row>
    <row r="34" spans="2:11" s="30" customFormat="1" x14ac:dyDescent="0.25">
      <c r="B34" s="163" t="s">
        <v>83</v>
      </c>
      <c r="C34" s="61">
        <f>C25-3059-2187-34923-3771-7229</f>
        <v>6462870</v>
      </c>
      <c r="D34" s="50"/>
      <c r="E34" s="79">
        <f>F34/C34</f>
        <v>1.9877247105388167</v>
      </c>
      <c r="F34" s="167">
        <f>F25-6512.25-4446.08-74877.28-7637.87-13416.53</f>
        <v>12846406.400000002</v>
      </c>
      <c r="G34" s="51">
        <f>F34*1.18</f>
        <v>15158759.552000001</v>
      </c>
      <c r="H34" s="169" t="s">
        <v>4</v>
      </c>
      <c r="I34" s="169" t="s">
        <v>4</v>
      </c>
      <c r="J34" s="169" t="s">
        <v>4</v>
      </c>
      <c r="K34" s="170" t="s">
        <v>4</v>
      </c>
    </row>
    <row r="35" spans="2:11" s="30" customFormat="1" ht="16.5" thickBot="1" x14ac:dyDescent="0.3">
      <c r="B35" s="153" t="s">
        <v>84</v>
      </c>
      <c r="C35" s="62">
        <f>H25-221-1673-3829-2348-5906</f>
        <v>4044671</v>
      </c>
      <c r="D35" s="63"/>
      <c r="E35" s="80">
        <f>F35/C35</f>
        <v>1.894618425083276</v>
      </c>
      <c r="F35" s="168">
        <f>J25-424.69-3040.46-8826.17-5074.07-11661.85</f>
        <v>7663108.1999999993</v>
      </c>
      <c r="G35" s="64">
        <f>F35*1.18</f>
        <v>9042467.675999999</v>
      </c>
      <c r="H35" s="171" t="s">
        <v>4</v>
      </c>
      <c r="I35" s="171" t="s">
        <v>4</v>
      </c>
      <c r="J35" s="171" t="s">
        <v>4</v>
      </c>
      <c r="K35" s="172" t="s">
        <v>4</v>
      </c>
    </row>
    <row r="36" spans="2:11" s="30" customFormat="1" x14ac:dyDescent="0.25">
      <c r="F36" s="38"/>
    </row>
    <row r="37" spans="2:11" s="30" customFormat="1" x14ac:dyDescent="0.25">
      <c r="F37" s="38"/>
    </row>
    <row r="38" spans="2:11" s="30" customFormat="1" x14ac:dyDescent="0.25">
      <c r="F38" s="38"/>
    </row>
    <row r="39" spans="2:11" s="30" customFormat="1" x14ac:dyDescent="0.25">
      <c r="F39" s="38"/>
    </row>
    <row r="40" spans="2:11" s="30" customFormat="1" x14ac:dyDescent="0.25">
      <c r="F40" s="38"/>
    </row>
  </sheetData>
  <mergeCells count="24">
    <mergeCell ref="J29:K29"/>
    <mergeCell ref="I29:I30"/>
    <mergeCell ref="E29:E30"/>
    <mergeCell ref="A8:O8"/>
    <mergeCell ref="C28:E28"/>
    <mergeCell ref="B29:B30"/>
    <mergeCell ref="C29:C30"/>
    <mergeCell ref="H29:H30"/>
    <mergeCell ref="F29:F30"/>
    <mergeCell ref="G29:G30"/>
    <mergeCell ref="A1:O1"/>
    <mergeCell ref="A2:O2"/>
    <mergeCell ref="A3:O3"/>
    <mergeCell ref="A5:A7"/>
    <mergeCell ref="B5:B7"/>
    <mergeCell ref="C5:G5"/>
    <mergeCell ref="H5:K5"/>
    <mergeCell ref="L5:O5"/>
    <mergeCell ref="E6:E7"/>
    <mergeCell ref="F6:F7"/>
    <mergeCell ref="G6:G7"/>
    <mergeCell ref="I6:I7"/>
    <mergeCell ref="J6:J7"/>
    <mergeCell ref="K6:K7"/>
  </mergeCells>
  <pageMargins left="0.51181102362204722" right="0.11811023622047245" top="0.15748031496062992" bottom="0.15748031496062992" header="0.31496062992125984" footer="0.31496062992125984"/>
  <pageSetup paperSize="9" scale="57" orientation="landscape" r:id="rId1"/>
  <ignoredErrors>
    <ignoredError sqref="G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opLeftCell="A19" zoomScale="90" zoomScaleNormal="90" workbookViewId="0">
      <selection activeCell="G11" sqref="G11"/>
    </sheetView>
  </sheetViews>
  <sheetFormatPr defaultRowHeight="15.75" outlineLevelRow="2" x14ac:dyDescent="0.25"/>
  <cols>
    <col min="1" max="1" width="17.7109375" style="3" customWidth="1"/>
    <col min="2" max="3" width="23.42578125" style="3" customWidth="1"/>
    <col min="4" max="4" width="16.42578125" style="3" customWidth="1"/>
    <col min="5" max="5" width="17.7109375" style="3" hidden="1" customWidth="1"/>
    <col min="6" max="6" width="12" style="3" customWidth="1"/>
    <col min="7" max="7" width="18.140625" style="22" customWidth="1"/>
    <col min="8" max="8" width="18.7109375" style="30" customWidth="1"/>
    <col min="9" max="9" width="18.5703125" style="3" customWidth="1"/>
    <col min="10" max="10" width="12.5703125" style="3" customWidth="1"/>
    <col min="11" max="11" width="16.42578125" style="3" customWidth="1"/>
    <col min="12" max="12" width="16.85546875" style="30" customWidth="1"/>
    <col min="13" max="13" width="18.140625" style="3" customWidth="1"/>
    <col min="14" max="15" width="16.85546875" style="3" customWidth="1"/>
    <col min="16" max="16" width="17.140625" style="30" customWidth="1"/>
    <col min="17" max="242" width="9.140625" style="3"/>
    <col min="243" max="243" width="18.85546875" style="3" customWidth="1"/>
    <col min="244" max="244" width="28" style="3" customWidth="1"/>
    <col min="245" max="245" width="16.42578125" style="3" customWidth="1"/>
    <col min="246" max="246" width="0" style="3" hidden="1" customWidth="1"/>
    <col min="247" max="247" width="18.85546875" style="3" customWidth="1"/>
    <col min="248" max="248" width="18.140625" style="3" customWidth="1"/>
    <col min="249" max="249" width="17.7109375" style="3" customWidth="1"/>
    <col min="250" max="250" width="18" style="3" customWidth="1"/>
    <col min="251" max="251" width="0" style="3" hidden="1" customWidth="1"/>
    <col min="252" max="252" width="17.42578125" style="3" customWidth="1"/>
    <col min="253" max="253" width="14.5703125" style="3" customWidth="1"/>
    <col min="254" max="257" width="16.85546875" style="3" customWidth="1"/>
    <col min="258" max="258" width="17.140625" style="3" customWidth="1"/>
    <col min="259" max="263" width="0" style="3" hidden="1" customWidth="1"/>
    <col min="264" max="264" width="13.140625" style="3" bestFit="1" customWidth="1"/>
    <col min="265" max="265" width="16.140625" style="3" customWidth="1"/>
    <col min="266" max="498" width="9.140625" style="3"/>
    <col min="499" max="499" width="18.85546875" style="3" customWidth="1"/>
    <col min="500" max="500" width="28" style="3" customWidth="1"/>
    <col min="501" max="501" width="16.42578125" style="3" customWidth="1"/>
    <col min="502" max="502" width="0" style="3" hidden="1" customWidth="1"/>
    <col min="503" max="503" width="18.85546875" style="3" customWidth="1"/>
    <col min="504" max="504" width="18.140625" style="3" customWidth="1"/>
    <col min="505" max="505" width="17.7109375" style="3" customWidth="1"/>
    <col min="506" max="506" width="18" style="3" customWidth="1"/>
    <col min="507" max="507" width="0" style="3" hidden="1" customWidth="1"/>
    <col min="508" max="508" width="17.42578125" style="3" customWidth="1"/>
    <col min="509" max="509" width="14.5703125" style="3" customWidth="1"/>
    <col min="510" max="513" width="16.85546875" style="3" customWidth="1"/>
    <col min="514" max="514" width="17.140625" style="3" customWidth="1"/>
    <col min="515" max="519" width="0" style="3" hidden="1" customWidth="1"/>
    <col min="520" max="520" width="13.140625" style="3" bestFit="1" customWidth="1"/>
    <col min="521" max="521" width="16.140625" style="3" customWidth="1"/>
    <col min="522" max="754" width="9.140625" style="3"/>
    <col min="755" max="755" width="18.85546875" style="3" customWidth="1"/>
    <col min="756" max="756" width="28" style="3" customWidth="1"/>
    <col min="757" max="757" width="16.42578125" style="3" customWidth="1"/>
    <col min="758" max="758" width="0" style="3" hidden="1" customWidth="1"/>
    <col min="759" max="759" width="18.85546875" style="3" customWidth="1"/>
    <col min="760" max="760" width="18.140625" style="3" customWidth="1"/>
    <col min="761" max="761" width="17.7109375" style="3" customWidth="1"/>
    <col min="762" max="762" width="18" style="3" customWidth="1"/>
    <col min="763" max="763" width="0" style="3" hidden="1" customWidth="1"/>
    <col min="764" max="764" width="17.42578125" style="3" customWidth="1"/>
    <col min="765" max="765" width="14.5703125" style="3" customWidth="1"/>
    <col min="766" max="769" width="16.85546875" style="3" customWidth="1"/>
    <col min="770" max="770" width="17.140625" style="3" customWidth="1"/>
    <col min="771" max="775" width="0" style="3" hidden="1" customWidth="1"/>
    <col min="776" max="776" width="13.140625" style="3" bestFit="1" customWidth="1"/>
    <col min="777" max="777" width="16.140625" style="3" customWidth="1"/>
    <col min="778" max="1010" width="9.140625" style="3"/>
    <col min="1011" max="1011" width="18.85546875" style="3" customWidth="1"/>
    <col min="1012" max="1012" width="28" style="3" customWidth="1"/>
    <col min="1013" max="1013" width="16.42578125" style="3" customWidth="1"/>
    <col min="1014" max="1014" width="0" style="3" hidden="1" customWidth="1"/>
    <col min="1015" max="1015" width="18.85546875" style="3" customWidth="1"/>
    <col min="1016" max="1016" width="18.140625" style="3" customWidth="1"/>
    <col min="1017" max="1017" width="17.7109375" style="3" customWidth="1"/>
    <col min="1018" max="1018" width="18" style="3" customWidth="1"/>
    <col min="1019" max="1019" width="0" style="3" hidden="1" customWidth="1"/>
    <col min="1020" max="1020" width="17.42578125" style="3" customWidth="1"/>
    <col min="1021" max="1021" width="14.5703125" style="3" customWidth="1"/>
    <col min="1022" max="1025" width="16.85546875" style="3" customWidth="1"/>
    <col min="1026" max="1026" width="17.140625" style="3" customWidth="1"/>
    <col min="1027" max="1031" width="0" style="3" hidden="1" customWidth="1"/>
    <col min="1032" max="1032" width="13.140625" style="3" bestFit="1" customWidth="1"/>
    <col min="1033" max="1033" width="16.140625" style="3" customWidth="1"/>
    <col min="1034" max="1266" width="9.140625" style="3"/>
    <col min="1267" max="1267" width="18.85546875" style="3" customWidth="1"/>
    <col min="1268" max="1268" width="28" style="3" customWidth="1"/>
    <col min="1269" max="1269" width="16.42578125" style="3" customWidth="1"/>
    <col min="1270" max="1270" width="0" style="3" hidden="1" customWidth="1"/>
    <col min="1271" max="1271" width="18.85546875" style="3" customWidth="1"/>
    <col min="1272" max="1272" width="18.140625" style="3" customWidth="1"/>
    <col min="1273" max="1273" width="17.7109375" style="3" customWidth="1"/>
    <col min="1274" max="1274" width="18" style="3" customWidth="1"/>
    <col min="1275" max="1275" width="0" style="3" hidden="1" customWidth="1"/>
    <col min="1276" max="1276" width="17.42578125" style="3" customWidth="1"/>
    <col min="1277" max="1277" width="14.5703125" style="3" customWidth="1"/>
    <col min="1278" max="1281" width="16.85546875" style="3" customWidth="1"/>
    <col min="1282" max="1282" width="17.140625" style="3" customWidth="1"/>
    <col min="1283" max="1287" width="0" style="3" hidden="1" customWidth="1"/>
    <col min="1288" max="1288" width="13.140625" style="3" bestFit="1" customWidth="1"/>
    <col min="1289" max="1289" width="16.140625" style="3" customWidth="1"/>
    <col min="1290" max="1522" width="9.140625" style="3"/>
    <col min="1523" max="1523" width="18.85546875" style="3" customWidth="1"/>
    <col min="1524" max="1524" width="28" style="3" customWidth="1"/>
    <col min="1525" max="1525" width="16.42578125" style="3" customWidth="1"/>
    <col min="1526" max="1526" width="0" style="3" hidden="1" customWidth="1"/>
    <col min="1527" max="1527" width="18.85546875" style="3" customWidth="1"/>
    <col min="1528" max="1528" width="18.140625" style="3" customWidth="1"/>
    <col min="1529" max="1529" width="17.7109375" style="3" customWidth="1"/>
    <col min="1530" max="1530" width="18" style="3" customWidth="1"/>
    <col min="1531" max="1531" width="0" style="3" hidden="1" customWidth="1"/>
    <col min="1532" max="1532" width="17.42578125" style="3" customWidth="1"/>
    <col min="1533" max="1533" width="14.5703125" style="3" customWidth="1"/>
    <col min="1534" max="1537" width="16.85546875" style="3" customWidth="1"/>
    <col min="1538" max="1538" width="17.140625" style="3" customWidth="1"/>
    <col min="1539" max="1543" width="0" style="3" hidden="1" customWidth="1"/>
    <col min="1544" max="1544" width="13.140625" style="3" bestFit="1" customWidth="1"/>
    <col min="1545" max="1545" width="16.140625" style="3" customWidth="1"/>
    <col min="1546" max="1778" width="9.140625" style="3"/>
    <col min="1779" max="1779" width="18.85546875" style="3" customWidth="1"/>
    <col min="1780" max="1780" width="28" style="3" customWidth="1"/>
    <col min="1781" max="1781" width="16.42578125" style="3" customWidth="1"/>
    <col min="1782" max="1782" width="0" style="3" hidden="1" customWidth="1"/>
    <col min="1783" max="1783" width="18.85546875" style="3" customWidth="1"/>
    <col min="1784" max="1784" width="18.140625" style="3" customWidth="1"/>
    <col min="1785" max="1785" width="17.7109375" style="3" customWidth="1"/>
    <col min="1786" max="1786" width="18" style="3" customWidth="1"/>
    <col min="1787" max="1787" width="0" style="3" hidden="1" customWidth="1"/>
    <col min="1788" max="1788" width="17.42578125" style="3" customWidth="1"/>
    <col min="1789" max="1789" width="14.5703125" style="3" customWidth="1"/>
    <col min="1790" max="1793" width="16.85546875" style="3" customWidth="1"/>
    <col min="1794" max="1794" width="17.140625" style="3" customWidth="1"/>
    <col min="1795" max="1799" width="0" style="3" hidden="1" customWidth="1"/>
    <col min="1800" max="1800" width="13.140625" style="3" bestFit="1" customWidth="1"/>
    <col min="1801" max="1801" width="16.140625" style="3" customWidth="1"/>
    <col min="1802" max="2034" width="9.140625" style="3"/>
    <col min="2035" max="2035" width="18.85546875" style="3" customWidth="1"/>
    <col min="2036" max="2036" width="28" style="3" customWidth="1"/>
    <col min="2037" max="2037" width="16.42578125" style="3" customWidth="1"/>
    <col min="2038" max="2038" width="0" style="3" hidden="1" customWidth="1"/>
    <col min="2039" max="2039" width="18.85546875" style="3" customWidth="1"/>
    <col min="2040" max="2040" width="18.140625" style="3" customWidth="1"/>
    <col min="2041" max="2041" width="17.7109375" style="3" customWidth="1"/>
    <col min="2042" max="2042" width="18" style="3" customWidth="1"/>
    <col min="2043" max="2043" width="0" style="3" hidden="1" customWidth="1"/>
    <col min="2044" max="2044" width="17.42578125" style="3" customWidth="1"/>
    <col min="2045" max="2045" width="14.5703125" style="3" customWidth="1"/>
    <col min="2046" max="2049" width="16.85546875" style="3" customWidth="1"/>
    <col min="2050" max="2050" width="17.140625" style="3" customWidth="1"/>
    <col min="2051" max="2055" width="0" style="3" hidden="1" customWidth="1"/>
    <col min="2056" max="2056" width="13.140625" style="3" bestFit="1" customWidth="1"/>
    <col min="2057" max="2057" width="16.140625" style="3" customWidth="1"/>
    <col min="2058" max="2290" width="9.140625" style="3"/>
    <col min="2291" max="2291" width="18.85546875" style="3" customWidth="1"/>
    <col min="2292" max="2292" width="28" style="3" customWidth="1"/>
    <col min="2293" max="2293" width="16.42578125" style="3" customWidth="1"/>
    <col min="2294" max="2294" width="0" style="3" hidden="1" customWidth="1"/>
    <col min="2295" max="2295" width="18.85546875" style="3" customWidth="1"/>
    <col min="2296" max="2296" width="18.140625" style="3" customWidth="1"/>
    <col min="2297" max="2297" width="17.7109375" style="3" customWidth="1"/>
    <col min="2298" max="2298" width="18" style="3" customWidth="1"/>
    <col min="2299" max="2299" width="0" style="3" hidden="1" customWidth="1"/>
    <col min="2300" max="2300" width="17.42578125" style="3" customWidth="1"/>
    <col min="2301" max="2301" width="14.5703125" style="3" customWidth="1"/>
    <col min="2302" max="2305" width="16.85546875" style="3" customWidth="1"/>
    <col min="2306" max="2306" width="17.140625" style="3" customWidth="1"/>
    <col min="2307" max="2311" width="0" style="3" hidden="1" customWidth="1"/>
    <col min="2312" max="2312" width="13.140625" style="3" bestFit="1" customWidth="1"/>
    <col min="2313" max="2313" width="16.140625" style="3" customWidth="1"/>
    <col min="2314" max="2546" width="9.140625" style="3"/>
    <col min="2547" max="2547" width="18.85546875" style="3" customWidth="1"/>
    <col min="2548" max="2548" width="28" style="3" customWidth="1"/>
    <col min="2549" max="2549" width="16.42578125" style="3" customWidth="1"/>
    <col min="2550" max="2550" width="0" style="3" hidden="1" customWidth="1"/>
    <col min="2551" max="2551" width="18.85546875" style="3" customWidth="1"/>
    <col min="2552" max="2552" width="18.140625" style="3" customWidth="1"/>
    <col min="2553" max="2553" width="17.7109375" style="3" customWidth="1"/>
    <col min="2554" max="2554" width="18" style="3" customWidth="1"/>
    <col min="2555" max="2555" width="0" style="3" hidden="1" customWidth="1"/>
    <col min="2556" max="2556" width="17.42578125" style="3" customWidth="1"/>
    <col min="2557" max="2557" width="14.5703125" style="3" customWidth="1"/>
    <col min="2558" max="2561" width="16.85546875" style="3" customWidth="1"/>
    <col min="2562" max="2562" width="17.140625" style="3" customWidth="1"/>
    <col min="2563" max="2567" width="0" style="3" hidden="1" customWidth="1"/>
    <col min="2568" max="2568" width="13.140625" style="3" bestFit="1" customWidth="1"/>
    <col min="2569" max="2569" width="16.140625" style="3" customWidth="1"/>
    <col min="2570" max="2802" width="9.140625" style="3"/>
    <col min="2803" max="2803" width="18.85546875" style="3" customWidth="1"/>
    <col min="2804" max="2804" width="28" style="3" customWidth="1"/>
    <col min="2805" max="2805" width="16.42578125" style="3" customWidth="1"/>
    <col min="2806" max="2806" width="0" style="3" hidden="1" customWidth="1"/>
    <col min="2807" max="2807" width="18.85546875" style="3" customWidth="1"/>
    <col min="2808" max="2808" width="18.140625" style="3" customWidth="1"/>
    <col min="2809" max="2809" width="17.7109375" style="3" customWidth="1"/>
    <col min="2810" max="2810" width="18" style="3" customWidth="1"/>
    <col min="2811" max="2811" width="0" style="3" hidden="1" customWidth="1"/>
    <col min="2812" max="2812" width="17.42578125" style="3" customWidth="1"/>
    <col min="2813" max="2813" width="14.5703125" style="3" customWidth="1"/>
    <col min="2814" max="2817" width="16.85546875" style="3" customWidth="1"/>
    <col min="2818" max="2818" width="17.140625" style="3" customWidth="1"/>
    <col min="2819" max="2823" width="0" style="3" hidden="1" customWidth="1"/>
    <col min="2824" max="2824" width="13.140625" style="3" bestFit="1" customWidth="1"/>
    <col min="2825" max="2825" width="16.140625" style="3" customWidth="1"/>
    <col min="2826" max="3058" width="9.140625" style="3"/>
    <col min="3059" max="3059" width="18.85546875" style="3" customWidth="1"/>
    <col min="3060" max="3060" width="28" style="3" customWidth="1"/>
    <col min="3061" max="3061" width="16.42578125" style="3" customWidth="1"/>
    <col min="3062" max="3062" width="0" style="3" hidden="1" customWidth="1"/>
    <col min="3063" max="3063" width="18.85546875" style="3" customWidth="1"/>
    <col min="3064" max="3064" width="18.140625" style="3" customWidth="1"/>
    <col min="3065" max="3065" width="17.7109375" style="3" customWidth="1"/>
    <col min="3066" max="3066" width="18" style="3" customWidth="1"/>
    <col min="3067" max="3067" width="0" style="3" hidden="1" customWidth="1"/>
    <col min="3068" max="3068" width="17.42578125" style="3" customWidth="1"/>
    <col min="3069" max="3069" width="14.5703125" style="3" customWidth="1"/>
    <col min="3070" max="3073" width="16.85546875" style="3" customWidth="1"/>
    <col min="3074" max="3074" width="17.140625" style="3" customWidth="1"/>
    <col min="3075" max="3079" width="0" style="3" hidden="1" customWidth="1"/>
    <col min="3080" max="3080" width="13.140625" style="3" bestFit="1" customWidth="1"/>
    <col min="3081" max="3081" width="16.140625" style="3" customWidth="1"/>
    <col min="3082" max="3314" width="9.140625" style="3"/>
    <col min="3315" max="3315" width="18.85546875" style="3" customWidth="1"/>
    <col min="3316" max="3316" width="28" style="3" customWidth="1"/>
    <col min="3317" max="3317" width="16.42578125" style="3" customWidth="1"/>
    <col min="3318" max="3318" width="0" style="3" hidden="1" customWidth="1"/>
    <col min="3319" max="3319" width="18.85546875" style="3" customWidth="1"/>
    <col min="3320" max="3320" width="18.140625" style="3" customWidth="1"/>
    <col min="3321" max="3321" width="17.7109375" style="3" customWidth="1"/>
    <col min="3322" max="3322" width="18" style="3" customWidth="1"/>
    <col min="3323" max="3323" width="0" style="3" hidden="1" customWidth="1"/>
    <col min="3324" max="3324" width="17.42578125" style="3" customWidth="1"/>
    <col min="3325" max="3325" width="14.5703125" style="3" customWidth="1"/>
    <col min="3326" max="3329" width="16.85546875" style="3" customWidth="1"/>
    <col min="3330" max="3330" width="17.140625" style="3" customWidth="1"/>
    <col min="3331" max="3335" width="0" style="3" hidden="1" customWidth="1"/>
    <col min="3336" max="3336" width="13.140625" style="3" bestFit="1" customWidth="1"/>
    <col min="3337" max="3337" width="16.140625" style="3" customWidth="1"/>
    <col min="3338" max="3570" width="9.140625" style="3"/>
    <col min="3571" max="3571" width="18.85546875" style="3" customWidth="1"/>
    <col min="3572" max="3572" width="28" style="3" customWidth="1"/>
    <col min="3573" max="3573" width="16.42578125" style="3" customWidth="1"/>
    <col min="3574" max="3574" width="0" style="3" hidden="1" customWidth="1"/>
    <col min="3575" max="3575" width="18.85546875" style="3" customWidth="1"/>
    <col min="3576" max="3576" width="18.140625" style="3" customWidth="1"/>
    <col min="3577" max="3577" width="17.7109375" style="3" customWidth="1"/>
    <col min="3578" max="3578" width="18" style="3" customWidth="1"/>
    <col min="3579" max="3579" width="0" style="3" hidden="1" customWidth="1"/>
    <col min="3580" max="3580" width="17.42578125" style="3" customWidth="1"/>
    <col min="3581" max="3581" width="14.5703125" style="3" customWidth="1"/>
    <col min="3582" max="3585" width="16.85546875" style="3" customWidth="1"/>
    <col min="3586" max="3586" width="17.140625" style="3" customWidth="1"/>
    <col min="3587" max="3591" width="0" style="3" hidden="1" customWidth="1"/>
    <col min="3592" max="3592" width="13.140625" style="3" bestFit="1" customWidth="1"/>
    <col min="3593" max="3593" width="16.140625" style="3" customWidth="1"/>
    <col min="3594" max="3826" width="9.140625" style="3"/>
    <col min="3827" max="3827" width="18.85546875" style="3" customWidth="1"/>
    <col min="3828" max="3828" width="28" style="3" customWidth="1"/>
    <col min="3829" max="3829" width="16.42578125" style="3" customWidth="1"/>
    <col min="3830" max="3830" width="0" style="3" hidden="1" customWidth="1"/>
    <col min="3831" max="3831" width="18.85546875" style="3" customWidth="1"/>
    <col min="3832" max="3832" width="18.140625" style="3" customWidth="1"/>
    <col min="3833" max="3833" width="17.7109375" style="3" customWidth="1"/>
    <col min="3834" max="3834" width="18" style="3" customWidth="1"/>
    <col min="3835" max="3835" width="0" style="3" hidden="1" customWidth="1"/>
    <col min="3836" max="3836" width="17.42578125" style="3" customWidth="1"/>
    <col min="3837" max="3837" width="14.5703125" style="3" customWidth="1"/>
    <col min="3838" max="3841" width="16.85546875" style="3" customWidth="1"/>
    <col min="3842" max="3842" width="17.140625" style="3" customWidth="1"/>
    <col min="3843" max="3847" width="0" style="3" hidden="1" customWidth="1"/>
    <col min="3848" max="3848" width="13.140625" style="3" bestFit="1" customWidth="1"/>
    <col min="3849" max="3849" width="16.140625" style="3" customWidth="1"/>
    <col min="3850" max="4082" width="9.140625" style="3"/>
    <col min="4083" max="4083" width="18.85546875" style="3" customWidth="1"/>
    <col min="4084" max="4084" width="28" style="3" customWidth="1"/>
    <col min="4085" max="4085" width="16.42578125" style="3" customWidth="1"/>
    <col min="4086" max="4086" width="0" style="3" hidden="1" customWidth="1"/>
    <col min="4087" max="4087" width="18.85546875" style="3" customWidth="1"/>
    <col min="4088" max="4088" width="18.140625" style="3" customWidth="1"/>
    <col min="4089" max="4089" width="17.7109375" style="3" customWidth="1"/>
    <col min="4090" max="4090" width="18" style="3" customWidth="1"/>
    <col min="4091" max="4091" width="0" style="3" hidden="1" customWidth="1"/>
    <col min="4092" max="4092" width="17.42578125" style="3" customWidth="1"/>
    <col min="4093" max="4093" width="14.5703125" style="3" customWidth="1"/>
    <col min="4094" max="4097" width="16.85546875" style="3" customWidth="1"/>
    <col min="4098" max="4098" width="17.140625" style="3" customWidth="1"/>
    <col min="4099" max="4103" width="0" style="3" hidden="1" customWidth="1"/>
    <col min="4104" max="4104" width="13.140625" style="3" bestFit="1" customWidth="1"/>
    <col min="4105" max="4105" width="16.140625" style="3" customWidth="1"/>
    <col min="4106" max="4338" width="9.140625" style="3"/>
    <col min="4339" max="4339" width="18.85546875" style="3" customWidth="1"/>
    <col min="4340" max="4340" width="28" style="3" customWidth="1"/>
    <col min="4341" max="4341" width="16.42578125" style="3" customWidth="1"/>
    <col min="4342" max="4342" width="0" style="3" hidden="1" customWidth="1"/>
    <col min="4343" max="4343" width="18.85546875" style="3" customWidth="1"/>
    <col min="4344" max="4344" width="18.140625" style="3" customWidth="1"/>
    <col min="4345" max="4345" width="17.7109375" style="3" customWidth="1"/>
    <col min="4346" max="4346" width="18" style="3" customWidth="1"/>
    <col min="4347" max="4347" width="0" style="3" hidden="1" customWidth="1"/>
    <col min="4348" max="4348" width="17.42578125" style="3" customWidth="1"/>
    <col min="4349" max="4349" width="14.5703125" style="3" customWidth="1"/>
    <col min="4350" max="4353" width="16.85546875" style="3" customWidth="1"/>
    <col min="4354" max="4354" width="17.140625" style="3" customWidth="1"/>
    <col min="4355" max="4359" width="0" style="3" hidden="1" customWidth="1"/>
    <col min="4360" max="4360" width="13.140625" style="3" bestFit="1" customWidth="1"/>
    <col min="4361" max="4361" width="16.140625" style="3" customWidth="1"/>
    <col min="4362" max="4594" width="9.140625" style="3"/>
    <col min="4595" max="4595" width="18.85546875" style="3" customWidth="1"/>
    <col min="4596" max="4596" width="28" style="3" customWidth="1"/>
    <col min="4597" max="4597" width="16.42578125" style="3" customWidth="1"/>
    <col min="4598" max="4598" width="0" style="3" hidden="1" customWidth="1"/>
    <col min="4599" max="4599" width="18.85546875" style="3" customWidth="1"/>
    <col min="4600" max="4600" width="18.140625" style="3" customWidth="1"/>
    <col min="4601" max="4601" width="17.7109375" style="3" customWidth="1"/>
    <col min="4602" max="4602" width="18" style="3" customWidth="1"/>
    <col min="4603" max="4603" width="0" style="3" hidden="1" customWidth="1"/>
    <col min="4604" max="4604" width="17.42578125" style="3" customWidth="1"/>
    <col min="4605" max="4605" width="14.5703125" style="3" customWidth="1"/>
    <col min="4606" max="4609" width="16.85546875" style="3" customWidth="1"/>
    <col min="4610" max="4610" width="17.140625" style="3" customWidth="1"/>
    <col min="4611" max="4615" width="0" style="3" hidden="1" customWidth="1"/>
    <col min="4616" max="4616" width="13.140625" style="3" bestFit="1" customWidth="1"/>
    <col min="4617" max="4617" width="16.140625" style="3" customWidth="1"/>
    <col min="4618" max="4850" width="9.140625" style="3"/>
    <col min="4851" max="4851" width="18.85546875" style="3" customWidth="1"/>
    <col min="4852" max="4852" width="28" style="3" customWidth="1"/>
    <col min="4853" max="4853" width="16.42578125" style="3" customWidth="1"/>
    <col min="4854" max="4854" width="0" style="3" hidden="1" customWidth="1"/>
    <col min="4855" max="4855" width="18.85546875" style="3" customWidth="1"/>
    <col min="4856" max="4856" width="18.140625" style="3" customWidth="1"/>
    <col min="4857" max="4857" width="17.7109375" style="3" customWidth="1"/>
    <col min="4858" max="4858" width="18" style="3" customWidth="1"/>
    <col min="4859" max="4859" width="0" style="3" hidden="1" customWidth="1"/>
    <col min="4860" max="4860" width="17.42578125" style="3" customWidth="1"/>
    <col min="4861" max="4861" width="14.5703125" style="3" customWidth="1"/>
    <col min="4862" max="4865" width="16.85546875" style="3" customWidth="1"/>
    <col min="4866" max="4866" width="17.140625" style="3" customWidth="1"/>
    <col min="4867" max="4871" width="0" style="3" hidden="1" customWidth="1"/>
    <col min="4872" max="4872" width="13.140625" style="3" bestFit="1" customWidth="1"/>
    <col min="4873" max="4873" width="16.140625" style="3" customWidth="1"/>
    <col min="4874" max="5106" width="9.140625" style="3"/>
    <col min="5107" max="5107" width="18.85546875" style="3" customWidth="1"/>
    <col min="5108" max="5108" width="28" style="3" customWidth="1"/>
    <col min="5109" max="5109" width="16.42578125" style="3" customWidth="1"/>
    <col min="5110" max="5110" width="0" style="3" hidden="1" customWidth="1"/>
    <col min="5111" max="5111" width="18.85546875" style="3" customWidth="1"/>
    <col min="5112" max="5112" width="18.140625" style="3" customWidth="1"/>
    <col min="5113" max="5113" width="17.7109375" style="3" customWidth="1"/>
    <col min="5114" max="5114" width="18" style="3" customWidth="1"/>
    <col min="5115" max="5115" width="0" style="3" hidden="1" customWidth="1"/>
    <col min="5116" max="5116" width="17.42578125" style="3" customWidth="1"/>
    <col min="5117" max="5117" width="14.5703125" style="3" customWidth="1"/>
    <col min="5118" max="5121" width="16.85546875" style="3" customWidth="1"/>
    <col min="5122" max="5122" width="17.140625" style="3" customWidth="1"/>
    <col min="5123" max="5127" width="0" style="3" hidden="1" customWidth="1"/>
    <col min="5128" max="5128" width="13.140625" style="3" bestFit="1" customWidth="1"/>
    <col min="5129" max="5129" width="16.140625" style="3" customWidth="1"/>
    <col min="5130" max="5362" width="9.140625" style="3"/>
    <col min="5363" max="5363" width="18.85546875" style="3" customWidth="1"/>
    <col min="5364" max="5364" width="28" style="3" customWidth="1"/>
    <col min="5365" max="5365" width="16.42578125" style="3" customWidth="1"/>
    <col min="5366" max="5366" width="0" style="3" hidden="1" customWidth="1"/>
    <col min="5367" max="5367" width="18.85546875" style="3" customWidth="1"/>
    <col min="5368" max="5368" width="18.140625" style="3" customWidth="1"/>
    <col min="5369" max="5369" width="17.7109375" style="3" customWidth="1"/>
    <col min="5370" max="5370" width="18" style="3" customWidth="1"/>
    <col min="5371" max="5371" width="0" style="3" hidden="1" customWidth="1"/>
    <col min="5372" max="5372" width="17.42578125" style="3" customWidth="1"/>
    <col min="5373" max="5373" width="14.5703125" style="3" customWidth="1"/>
    <col min="5374" max="5377" width="16.85546875" style="3" customWidth="1"/>
    <col min="5378" max="5378" width="17.140625" style="3" customWidth="1"/>
    <col min="5379" max="5383" width="0" style="3" hidden="1" customWidth="1"/>
    <col min="5384" max="5384" width="13.140625" style="3" bestFit="1" customWidth="1"/>
    <col min="5385" max="5385" width="16.140625" style="3" customWidth="1"/>
    <col min="5386" max="5618" width="9.140625" style="3"/>
    <col min="5619" max="5619" width="18.85546875" style="3" customWidth="1"/>
    <col min="5620" max="5620" width="28" style="3" customWidth="1"/>
    <col min="5621" max="5621" width="16.42578125" style="3" customWidth="1"/>
    <col min="5622" max="5622" width="0" style="3" hidden="1" customWidth="1"/>
    <col min="5623" max="5623" width="18.85546875" style="3" customWidth="1"/>
    <col min="5624" max="5624" width="18.140625" style="3" customWidth="1"/>
    <col min="5625" max="5625" width="17.7109375" style="3" customWidth="1"/>
    <col min="5626" max="5626" width="18" style="3" customWidth="1"/>
    <col min="5627" max="5627" width="0" style="3" hidden="1" customWidth="1"/>
    <col min="5628" max="5628" width="17.42578125" style="3" customWidth="1"/>
    <col min="5629" max="5629" width="14.5703125" style="3" customWidth="1"/>
    <col min="5630" max="5633" width="16.85546875" style="3" customWidth="1"/>
    <col min="5634" max="5634" width="17.140625" style="3" customWidth="1"/>
    <col min="5635" max="5639" width="0" style="3" hidden="1" customWidth="1"/>
    <col min="5640" max="5640" width="13.140625" style="3" bestFit="1" customWidth="1"/>
    <col min="5641" max="5641" width="16.140625" style="3" customWidth="1"/>
    <col min="5642" max="5874" width="9.140625" style="3"/>
    <col min="5875" max="5875" width="18.85546875" style="3" customWidth="1"/>
    <col min="5876" max="5876" width="28" style="3" customWidth="1"/>
    <col min="5877" max="5877" width="16.42578125" style="3" customWidth="1"/>
    <col min="5878" max="5878" width="0" style="3" hidden="1" customWidth="1"/>
    <col min="5879" max="5879" width="18.85546875" style="3" customWidth="1"/>
    <col min="5880" max="5880" width="18.140625" style="3" customWidth="1"/>
    <col min="5881" max="5881" width="17.7109375" style="3" customWidth="1"/>
    <col min="5882" max="5882" width="18" style="3" customWidth="1"/>
    <col min="5883" max="5883" width="0" style="3" hidden="1" customWidth="1"/>
    <col min="5884" max="5884" width="17.42578125" style="3" customWidth="1"/>
    <col min="5885" max="5885" width="14.5703125" style="3" customWidth="1"/>
    <col min="5886" max="5889" width="16.85546875" style="3" customWidth="1"/>
    <col min="5890" max="5890" width="17.140625" style="3" customWidth="1"/>
    <col min="5891" max="5895" width="0" style="3" hidden="1" customWidth="1"/>
    <col min="5896" max="5896" width="13.140625" style="3" bestFit="1" customWidth="1"/>
    <col min="5897" max="5897" width="16.140625" style="3" customWidth="1"/>
    <col min="5898" max="6130" width="9.140625" style="3"/>
    <col min="6131" max="6131" width="18.85546875" style="3" customWidth="1"/>
    <col min="6132" max="6132" width="28" style="3" customWidth="1"/>
    <col min="6133" max="6133" width="16.42578125" style="3" customWidth="1"/>
    <col min="6134" max="6134" width="0" style="3" hidden="1" customWidth="1"/>
    <col min="6135" max="6135" width="18.85546875" style="3" customWidth="1"/>
    <col min="6136" max="6136" width="18.140625" style="3" customWidth="1"/>
    <col min="6137" max="6137" width="17.7109375" style="3" customWidth="1"/>
    <col min="6138" max="6138" width="18" style="3" customWidth="1"/>
    <col min="6139" max="6139" width="0" style="3" hidden="1" customWidth="1"/>
    <col min="6140" max="6140" width="17.42578125" style="3" customWidth="1"/>
    <col min="6141" max="6141" width="14.5703125" style="3" customWidth="1"/>
    <col min="6142" max="6145" width="16.85546875" style="3" customWidth="1"/>
    <col min="6146" max="6146" width="17.140625" style="3" customWidth="1"/>
    <col min="6147" max="6151" width="0" style="3" hidden="1" customWidth="1"/>
    <col min="6152" max="6152" width="13.140625" style="3" bestFit="1" customWidth="1"/>
    <col min="6153" max="6153" width="16.140625" style="3" customWidth="1"/>
    <col min="6154" max="6386" width="9.140625" style="3"/>
    <col min="6387" max="6387" width="18.85546875" style="3" customWidth="1"/>
    <col min="6388" max="6388" width="28" style="3" customWidth="1"/>
    <col min="6389" max="6389" width="16.42578125" style="3" customWidth="1"/>
    <col min="6390" max="6390" width="0" style="3" hidden="1" customWidth="1"/>
    <col min="6391" max="6391" width="18.85546875" style="3" customWidth="1"/>
    <col min="6392" max="6392" width="18.140625" style="3" customWidth="1"/>
    <col min="6393" max="6393" width="17.7109375" style="3" customWidth="1"/>
    <col min="6394" max="6394" width="18" style="3" customWidth="1"/>
    <col min="6395" max="6395" width="0" style="3" hidden="1" customWidth="1"/>
    <col min="6396" max="6396" width="17.42578125" style="3" customWidth="1"/>
    <col min="6397" max="6397" width="14.5703125" style="3" customWidth="1"/>
    <col min="6398" max="6401" width="16.85546875" style="3" customWidth="1"/>
    <col min="6402" max="6402" width="17.140625" style="3" customWidth="1"/>
    <col min="6403" max="6407" width="0" style="3" hidden="1" customWidth="1"/>
    <col min="6408" max="6408" width="13.140625" style="3" bestFit="1" customWidth="1"/>
    <col min="6409" max="6409" width="16.140625" style="3" customWidth="1"/>
    <col min="6410" max="6642" width="9.140625" style="3"/>
    <col min="6643" max="6643" width="18.85546875" style="3" customWidth="1"/>
    <col min="6644" max="6644" width="28" style="3" customWidth="1"/>
    <col min="6645" max="6645" width="16.42578125" style="3" customWidth="1"/>
    <col min="6646" max="6646" width="0" style="3" hidden="1" customWidth="1"/>
    <col min="6647" max="6647" width="18.85546875" style="3" customWidth="1"/>
    <col min="6648" max="6648" width="18.140625" style="3" customWidth="1"/>
    <col min="6649" max="6649" width="17.7109375" style="3" customWidth="1"/>
    <col min="6650" max="6650" width="18" style="3" customWidth="1"/>
    <col min="6651" max="6651" width="0" style="3" hidden="1" customWidth="1"/>
    <col min="6652" max="6652" width="17.42578125" style="3" customWidth="1"/>
    <col min="6653" max="6653" width="14.5703125" style="3" customWidth="1"/>
    <col min="6654" max="6657" width="16.85546875" style="3" customWidth="1"/>
    <col min="6658" max="6658" width="17.140625" style="3" customWidth="1"/>
    <col min="6659" max="6663" width="0" style="3" hidden="1" customWidth="1"/>
    <col min="6664" max="6664" width="13.140625" style="3" bestFit="1" customWidth="1"/>
    <col min="6665" max="6665" width="16.140625" style="3" customWidth="1"/>
    <col min="6666" max="6898" width="9.140625" style="3"/>
    <col min="6899" max="6899" width="18.85546875" style="3" customWidth="1"/>
    <col min="6900" max="6900" width="28" style="3" customWidth="1"/>
    <col min="6901" max="6901" width="16.42578125" style="3" customWidth="1"/>
    <col min="6902" max="6902" width="0" style="3" hidden="1" customWidth="1"/>
    <col min="6903" max="6903" width="18.85546875" style="3" customWidth="1"/>
    <col min="6904" max="6904" width="18.140625" style="3" customWidth="1"/>
    <col min="6905" max="6905" width="17.7109375" style="3" customWidth="1"/>
    <col min="6906" max="6906" width="18" style="3" customWidth="1"/>
    <col min="6907" max="6907" width="0" style="3" hidden="1" customWidth="1"/>
    <col min="6908" max="6908" width="17.42578125" style="3" customWidth="1"/>
    <col min="6909" max="6909" width="14.5703125" style="3" customWidth="1"/>
    <col min="6910" max="6913" width="16.85546875" style="3" customWidth="1"/>
    <col min="6914" max="6914" width="17.140625" style="3" customWidth="1"/>
    <col min="6915" max="6919" width="0" style="3" hidden="1" customWidth="1"/>
    <col min="6920" max="6920" width="13.140625" style="3" bestFit="1" customWidth="1"/>
    <col min="6921" max="6921" width="16.140625" style="3" customWidth="1"/>
    <col min="6922" max="7154" width="9.140625" style="3"/>
    <col min="7155" max="7155" width="18.85546875" style="3" customWidth="1"/>
    <col min="7156" max="7156" width="28" style="3" customWidth="1"/>
    <col min="7157" max="7157" width="16.42578125" style="3" customWidth="1"/>
    <col min="7158" max="7158" width="0" style="3" hidden="1" customWidth="1"/>
    <col min="7159" max="7159" width="18.85546875" style="3" customWidth="1"/>
    <col min="7160" max="7160" width="18.140625" style="3" customWidth="1"/>
    <col min="7161" max="7161" width="17.7109375" style="3" customWidth="1"/>
    <col min="7162" max="7162" width="18" style="3" customWidth="1"/>
    <col min="7163" max="7163" width="0" style="3" hidden="1" customWidth="1"/>
    <col min="7164" max="7164" width="17.42578125" style="3" customWidth="1"/>
    <col min="7165" max="7165" width="14.5703125" style="3" customWidth="1"/>
    <col min="7166" max="7169" width="16.85546875" style="3" customWidth="1"/>
    <col min="7170" max="7170" width="17.140625" style="3" customWidth="1"/>
    <col min="7171" max="7175" width="0" style="3" hidden="1" customWidth="1"/>
    <col min="7176" max="7176" width="13.140625" style="3" bestFit="1" customWidth="1"/>
    <col min="7177" max="7177" width="16.140625" style="3" customWidth="1"/>
    <col min="7178" max="7410" width="9.140625" style="3"/>
    <col min="7411" max="7411" width="18.85546875" style="3" customWidth="1"/>
    <col min="7412" max="7412" width="28" style="3" customWidth="1"/>
    <col min="7413" max="7413" width="16.42578125" style="3" customWidth="1"/>
    <col min="7414" max="7414" width="0" style="3" hidden="1" customWidth="1"/>
    <col min="7415" max="7415" width="18.85546875" style="3" customWidth="1"/>
    <col min="7416" max="7416" width="18.140625" style="3" customWidth="1"/>
    <col min="7417" max="7417" width="17.7109375" style="3" customWidth="1"/>
    <col min="7418" max="7418" width="18" style="3" customWidth="1"/>
    <col min="7419" max="7419" width="0" style="3" hidden="1" customWidth="1"/>
    <col min="7420" max="7420" width="17.42578125" style="3" customWidth="1"/>
    <col min="7421" max="7421" width="14.5703125" style="3" customWidth="1"/>
    <col min="7422" max="7425" width="16.85546875" style="3" customWidth="1"/>
    <col min="7426" max="7426" width="17.140625" style="3" customWidth="1"/>
    <col min="7427" max="7431" width="0" style="3" hidden="1" customWidth="1"/>
    <col min="7432" max="7432" width="13.140625" style="3" bestFit="1" customWidth="1"/>
    <col min="7433" max="7433" width="16.140625" style="3" customWidth="1"/>
    <col min="7434" max="7666" width="9.140625" style="3"/>
    <col min="7667" max="7667" width="18.85546875" style="3" customWidth="1"/>
    <col min="7668" max="7668" width="28" style="3" customWidth="1"/>
    <col min="7669" max="7669" width="16.42578125" style="3" customWidth="1"/>
    <col min="7670" max="7670" width="0" style="3" hidden="1" customWidth="1"/>
    <col min="7671" max="7671" width="18.85546875" style="3" customWidth="1"/>
    <col min="7672" max="7672" width="18.140625" style="3" customWidth="1"/>
    <col min="7673" max="7673" width="17.7109375" style="3" customWidth="1"/>
    <col min="7674" max="7674" width="18" style="3" customWidth="1"/>
    <col min="7675" max="7675" width="0" style="3" hidden="1" customWidth="1"/>
    <col min="7676" max="7676" width="17.42578125" style="3" customWidth="1"/>
    <col min="7677" max="7677" width="14.5703125" style="3" customWidth="1"/>
    <col min="7678" max="7681" width="16.85546875" style="3" customWidth="1"/>
    <col min="7682" max="7682" width="17.140625" style="3" customWidth="1"/>
    <col min="7683" max="7687" width="0" style="3" hidden="1" customWidth="1"/>
    <col min="7688" max="7688" width="13.140625" style="3" bestFit="1" customWidth="1"/>
    <col min="7689" max="7689" width="16.140625" style="3" customWidth="1"/>
    <col min="7690" max="7922" width="9.140625" style="3"/>
    <col min="7923" max="7923" width="18.85546875" style="3" customWidth="1"/>
    <col min="7924" max="7924" width="28" style="3" customWidth="1"/>
    <col min="7925" max="7925" width="16.42578125" style="3" customWidth="1"/>
    <col min="7926" max="7926" width="0" style="3" hidden="1" customWidth="1"/>
    <col min="7927" max="7927" width="18.85546875" style="3" customWidth="1"/>
    <col min="7928" max="7928" width="18.140625" style="3" customWidth="1"/>
    <col min="7929" max="7929" width="17.7109375" style="3" customWidth="1"/>
    <col min="7930" max="7930" width="18" style="3" customWidth="1"/>
    <col min="7931" max="7931" width="0" style="3" hidden="1" customWidth="1"/>
    <col min="7932" max="7932" width="17.42578125" style="3" customWidth="1"/>
    <col min="7933" max="7933" width="14.5703125" style="3" customWidth="1"/>
    <col min="7934" max="7937" width="16.85546875" style="3" customWidth="1"/>
    <col min="7938" max="7938" width="17.140625" style="3" customWidth="1"/>
    <col min="7939" max="7943" width="0" style="3" hidden="1" customWidth="1"/>
    <col min="7944" max="7944" width="13.140625" style="3" bestFit="1" customWidth="1"/>
    <col min="7945" max="7945" width="16.140625" style="3" customWidth="1"/>
    <col min="7946" max="8178" width="9.140625" style="3"/>
    <col min="8179" max="8179" width="18.85546875" style="3" customWidth="1"/>
    <col min="8180" max="8180" width="28" style="3" customWidth="1"/>
    <col min="8181" max="8181" width="16.42578125" style="3" customWidth="1"/>
    <col min="8182" max="8182" width="0" style="3" hidden="1" customWidth="1"/>
    <col min="8183" max="8183" width="18.85546875" style="3" customWidth="1"/>
    <col min="8184" max="8184" width="18.140625" style="3" customWidth="1"/>
    <col min="8185" max="8185" width="17.7109375" style="3" customWidth="1"/>
    <col min="8186" max="8186" width="18" style="3" customWidth="1"/>
    <col min="8187" max="8187" width="0" style="3" hidden="1" customWidth="1"/>
    <col min="8188" max="8188" width="17.42578125" style="3" customWidth="1"/>
    <col min="8189" max="8189" width="14.5703125" style="3" customWidth="1"/>
    <col min="8190" max="8193" width="16.85546875" style="3" customWidth="1"/>
    <col min="8194" max="8194" width="17.140625" style="3" customWidth="1"/>
    <col min="8195" max="8199" width="0" style="3" hidden="1" customWidth="1"/>
    <col min="8200" max="8200" width="13.140625" style="3" bestFit="1" customWidth="1"/>
    <col min="8201" max="8201" width="16.140625" style="3" customWidth="1"/>
    <col min="8202" max="8434" width="9.140625" style="3"/>
    <col min="8435" max="8435" width="18.85546875" style="3" customWidth="1"/>
    <col min="8436" max="8436" width="28" style="3" customWidth="1"/>
    <col min="8437" max="8437" width="16.42578125" style="3" customWidth="1"/>
    <col min="8438" max="8438" width="0" style="3" hidden="1" customWidth="1"/>
    <col min="8439" max="8439" width="18.85546875" style="3" customWidth="1"/>
    <col min="8440" max="8440" width="18.140625" style="3" customWidth="1"/>
    <col min="8441" max="8441" width="17.7109375" style="3" customWidth="1"/>
    <col min="8442" max="8442" width="18" style="3" customWidth="1"/>
    <col min="8443" max="8443" width="0" style="3" hidden="1" customWidth="1"/>
    <col min="8444" max="8444" width="17.42578125" style="3" customWidth="1"/>
    <col min="8445" max="8445" width="14.5703125" style="3" customWidth="1"/>
    <col min="8446" max="8449" width="16.85546875" style="3" customWidth="1"/>
    <col min="8450" max="8450" width="17.140625" style="3" customWidth="1"/>
    <col min="8451" max="8455" width="0" style="3" hidden="1" customWidth="1"/>
    <col min="8456" max="8456" width="13.140625" style="3" bestFit="1" customWidth="1"/>
    <col min="8457" max="8457" width="16.140625" style="3" customWidth="1"/>
    <col min="8458" max="8690" width="9.140625" style="3"/>
    <col min="8691" max="8691" width="18.85546875" style="3" customWidth="1"/>
    <col min="8692" max="8692" width="28" style="3" customWidth="1"/>
    <col min="8693" max="8693" width="16.42578125" style="3" customWidth="1"/>
    <col min="8694" max="8694" width="0" style="3" hidden="1" customWidth="1"/>
    <col min="8695" max="8695" width="18.85546875" style="3" customWidth="1"/>
    <col min="8696" max="8696" width="18.140625" style="3" customWidth="1"/>
    <col min="8697" max="8697" width="17.7109375" style="3" customWidth="1"/>
    <col min="8698" max="8698" width="18" style="3" customWidth="1"/>
    <col min="8699" max="8699" width="0" style="3" hidden="1" customWidth="1"/>
    <col min="8700" max="8700" width="17.42578125" style="3" customWidth="1"/>
    <col min="8701" max="8701" width="14.5703125" style="3" customWidth="1"/>
    <col min="8702" max="8705" width="16.85546875" style="3" customWidth="1"/>
    <col min="8706" max="8706" width="17.140625" style="3" customWidth="1"/>
    <col min="8707" max="8711" width="0" style="3" hidden="1" customWidth="1"/>
    <col min="8712" max="8712" width="13.140625" style="3" bestFit="1" customWidth="1"/>
    <col min="8713" max="8713" width="16.140625" style="3" customWidth="1"/>
    <col min="8714" max="8946" width="9.140625" style="3"/>
    <col min="8947" max="8947" width="18.85546875" style="3" customWidth="1"/>
    <col min="8948" max="8948" width="28" style="3" customWidth="1"/>
    <col min="8949" max="8949" width="16.42578125" style="3" customWidth="1"/>
    <col min="8950" max="8950" width="0" style="3" hidden="1" customWidth="1"/>
    <col min="8951" max="8951" width="18.85546875" style="3" customWidth="1"/>
    <col min="8952" max="8952" width="18.140625" style="3" customWidth="1"/>
    <col min="8953" max="8953" width="17.7109375" style="3" customWidth="1"/>
    <col min="8954" max="8954" width="18" style="3" customWidth="1"/>
    <col min="8955" max="8955" width="0" style="3" hidden="1" customWidth="1"/>
    <col min="8956" max="8956" width="17.42578125" style="3" customWidth="1"/>
    <col min="8957" max="8957" width="14.5703125" style="3" customWidth="1"/>
    <col min="8958" max="8961" width="16.85546875" style="3" customWidth="1"/>
    <col min="8962" max="8962" width="17.140625" style="3" customWidth="1"/>
    <col min="8963" max="8967" width="0" style="3" hidden="1" customWidth="1"/>
    <col min="8968" max="8968" width="13.140625" style="3" bestFit="1" customWidth="1"/>
    <col min="8969" max="8969" width="16.140625" style="3" customWidth="1"/>
    <col min="8970" max="9202" width="9.140625" style="3"/>
    <col min="9203" max="9203" width="18.85546875" style="3" customWidth="1"/>
    <col min="9204" max="9204" width="28" style="3" customWidth="1"/>
    <col min="9205" max="9205" width="16.42578125" style="3" customWidth="1"/>
    <col min="9206" max="9206" width="0" style="3" hidden="1" customWidth="1"/>
    <col min="9207" max="9207" width="18.85546875" style="3" customWidth="1"/>
    <col min="9208" max="9208" width="18.140625" style="3" customWidth="1"/>
    <col min="9209" max="9209" width="17.7109375" style="3" customWidth="1"/>
    <col min="9210" max="9210" width="18" style="3" customWidth="1"/>
    <col min="9211" max="9211" width="0" style="3" hidden="1" customWidth="1"/>
    <col min="9212" max="9212" width="17.42578125" style="3" customWidth="1"/>
    <col min="9213" max="9213" width="14.5703125" style="3" customWidth="1"/>
    <col min="9214" max="9217" width="16.85546875" style="3" customWidth="1"/>
    <col min="9218" max="9218" width="17.140625" style="3" customWidth="1"/>
    <col min="9219" max="9223" width="0" style="3" hidden="1" customWidth="1"/>
    <col min="9224" max="9224" width="13.140625" style="3" bestFit="1" customWidth="1"/>
    <col min="9225" max="9225" width="16.140625" style="3" customWidth="1"/>
    <col min="9226" max="9458" width="9.140625" style="3"/>
    <col min="9459" max="9459" width="18.85546875" style="3" customWidth="1"/>
    <col min="9460" max="9460" width="28" style="3" customWidth="1"/>
    <col min="9461" max="9461" width="16.42578125" style="3" customWidth="1"/>
    <col min="9462" max="9462" width="0" style="3" hidden="1" customWidth="1"/>
    <col min="9463" max="9463" width="18.85546875" style="3" customWidth="1"/>
    <col min="9464" max="9464" width="18.140625" style="3" customWidth="1"/>
    <col min="9465" max="9465" width="17.7109375" style="3" customWidth="1"/>
    <col min="9466" max="9466" width="18" style="3" customWidth="1"/>
    <col min="9467" max="9467" width="0" style="3" hidden="1" customWidth="1"/>
    <col min="9468" max="9468" width="17.42578125" style="3" customWidth="1"/>
    <col min="9469" max="9469" width="14.5703125" style="3" customWidth="1"/>
    <col min="9470" max="9473" width="16.85546875" style="3" customWidth="1"/>
    <col min="9474" max="9474" width="17.140625" style="3" customWidth="1"/>
    <col min="9475" max="9479" width="0" style="3" hidden="1" customWidth="1"/>
    <col min="9480" max="9480" width="13.140625" style="3" bestFit="1" customWidth="1"/>
    <col min="9481" max="9481" width="16.140625" style="3" customWidth="1"/>
    <col min="9482" max="9714" width="9.140625" style="3"/>
    <col min="9715" max="9715" width="18.85546875" style="3" customWidth="1"/>
    <col min="9716" max="9716" width="28" style="3" customWidth="1"/>
    <col min="9717" max="9717" width="16.42578125" style="3" customWidth="1"/>
    <col min="9718" max="9718" width="0" style="3" hidden="1" customWidth="1"/>
    <col min="9719" max="9719" width="18.85546875" style="3" customWidth="1"/>
    <col min="9720" max="9720" width="18.140625" style="3" customWidth="1"/>
    <col min="9721" max="9721" width="17.7109375" style="3" customWidth="1"/>
    <col min="9722" max="9722" width="18" style="3" customWidth="1"/>
    <col min="9723" max="9723" width="0" style="3" hidden="1" customWidth="1"/>
    <col min="9724" max="9724" width="17.42578125" style="3" customWidth="1"/>
    <col min="9725" max="9725" width="14.5703125" style="3" customWidth="1"/>
    <col min="9726" max="9729" width="16.85546875" style="3" customWidth="1"/>
    <col min="9730" max="9730" width="17.140625" style="3" customWidth="1"/>
    <col min="9731" max="9735" width="0" style="3" hidden="1" customWidth="1"/>
    <col min="9736" max="9736" width="13.140625" style="3" bestFit="1" customWidth="1"/>
    <col min="9737" max="9737" width="16.140625" style="3" customWidth="1"/>
    <col min="9738" max="9970" width="9.140625" style="3"/>
    <col min="9971" max="9971" width="18.85546875" style="3" customWidth="1"/>
    <col min="9972" max="9972" width="28" style="3" customWidth="1"/>
    <col min="9973" max="9973" width="16.42578125" style="3" customWidth="1"/>
    <col min="9974" max="9974" width="0" style="3" hidden="1" customWidth="1"/>
    <col min="9975" max="9975" width="18.85546875" style="3" customWidth="1"/>
    <col min="9976" max="9976" width="18.140625" style="3" customWidth="1"/>
    <col min="9977" max="9977" width="17.7109375" style="3" customWidth="1"/>
    <col min="9978" max="9978" width="18" style="3" customWidth="1"/>
    <col min="9979" max="9979" width="0" style="3" hidden="1" customWidth="1"/>
    <col min="9980" max="9980" width="17.42578125" style="3" customWidth="1"/>
    <col min="9981" max="9981" width="14.5703125" style="3" customWidth="1"/>
    <col min="9982" max="9985" width="16.85546875" style="3" customWidth="1"/>
    <col min="9986" max="9986" width="17.140625" style="3" customWidth="1"/>
    <col min="9987" max="9991" width="0" style="3" hidden="1" customWidth="1"/>
    <col min="9992" max="9992" width="13.140625" style="3" bestFit="1" customWidth="1"/>
    <col min="9993" max="9993" width="16.140625" style="3" customWidth="1"/>
    <col min="9994" max="10226" width="9.140625" style="3"/>
    <col min="10227" max="10227" width="18.85546875" style="3" customWidth="1"/>
    <col min="10228" max="10228" width="28" style="3" customWidth="1"/>
    <col min="10229" max="10229" width="16.42578125" style="3" customWidth="1"/>
    <col min="10230" max="10230" width="0" style="3" hidden="1" customWidth="1"/>
    <col min="10231" max="10231" width="18.85546875" style="3" customWidth="1"/>
    <col min="10232" max="10232" width="18.140625" style="3" customWidth="1"/>
    <col min="10233" max="10233" width="17.7109375" style="3" customWidth="1"/>
    <col min="10234" max="10234" width="18" style="3" customWidth="1"/>
    <col min="10235" max="10235" width="0" style="3" hidden="1" customWidth="1"/>
    <col min="10236" max="10236" width="17.42578125" style="3" customWidth="1"/>
    <col min="10237" max="10237" width="14.5703125" style="3" customWidth="1"/>
    <col min="10238" max="10241" width="16.85546875" style="3" customWidth="1"/>
    <col min="10242" max="10242" width="17.140625" style="3" customWidth="1"/>
    <col min="10243" max="10247" width="0" style="3" hidden="1" customWidth="1"/>
    <col min="10248" max="10248" width="13.140625" style="3" bestFit="1" customWidth="1"/>
    <col min="10249" max="10249" width="16.140625" style="3" customWidth="1"/>
    <col min="10250" max="10482" width="9.140625" style="3"/>
    <col min="10483" max="10483" width="18.85546875" style="3" customWidth="1"/>
    <col min="10484" max="10484" width="28" style="3" customWidth="1"/>
    <col min="10485" max="10485" width="16.42578125" style="3" customWidth="1"/>
    <col min="10486" max="10486" width="0" style="3" hidden="1" customWidth="1"/>
    <col min="10487" max="10487" width="18.85546875" style="3" customWidth="1"/>
    <col min="10488" max="10488" width="18.140625" style="3" customWidth="1"/>
    <col min="10489" max="10489" width="17.7109375" style="3" customWidth="1"/>
    <col min="10490" max="10490" width="18" style="3" customWidth="1"/>
    <col min="10491" max="10491" width="0" style="3" hidden="1" customWidth="1"/>
    <col min="10492" max="10492" width="17.42578125" style="3" customWidth="1"/>
    <col min="10493" max="10493" width="14.5703125" style="3" customWidth="1"/>
    <col min="10494" max="10497" width="16.85546875" style="3" customWidth="1"/>
    <col min="10498" max="10498" width="17.140625" style="3" customWidth="1"/>
    <col min="10499" max="10503" width="0" style="3" hidden="1" customWidth="1"/>
    <col min="10504" max="10504" width="13.140625" style="3" bestFit="1" customWidth="1"/>
    <col min="10505" max="10505" width="16.140625" style="3" customWidth="1"/>
    <col min="10506" max="10738" width="9.140625" style="3"/>
    <col min="10739" max="10739" width="18.85546875" style="3" customWidth="1"/>
    <col min="10740" max="10740" width="28" style="3" customWidth="1"/>
    <col min="10741" max="10741" width="16.42578125" style="3" customWidth="1"/>
    <col min="10742" max="10742" width="0" style="3" hidden="1" customWidth="1"/>
    <col min="10743" max="10743" width="18.85546875" style="3" customWidth="1"/>
    <col min="10744" max="10744" width="18.140625" style="3" customWidth="1"/>
    <col min="10745" max="10745" width="17.7109375" style="3" customWidth="1"/>
    <col min="10746" max="10746" width="18" style="3" customWidth="1"/>
    <col min="10747" max="10747" width="0" style="3" hidden="1" customWidth="1"/>
    <col min="10748" max="10748" width="17.42578125" style="3" customWidth="1"/>
    <col min="10749" max="10749" width="14.5703125" style="3" customWidth="1"/>
    <col min="10750" max="10753" width="16.85546875" style="3" customWidth="1"/>
    <col min="10754" max="10754" width="17.140625" style="3" customWidth="1"/>
    <col min="10755" max="10759" width="0" style="3" hidden="1" customWidth="1"/>
    <col min="10760" max="10760" width="13.140625" style="3" bestFit="1" customWidth="1"/>
    <col min="10761" max="10761" width="16.140625" style="3" customWidth="1"/>
    <col min="10762" max="10994" width="9.140625" style="3"/>
    <col min="10995" max="10995" width="18.85546875" style="3" customWidth="1"/>
    <col min="10996" max="10996" width="28" style="3" customWidth="1"/>
    <col min="10997" max="10997" width="16.42578125" style="3" customWidth="1"/>
    <col min="10998" max="10998" width="0" style="3" hidden="1" customWidth="1"/>
    <col min="10999" max="10999" width="18.85546875" style="3" customWidth="1"/>
    <col min="11000" max="11000" width="18.140625" style="3" customWidth="1"/>
    <col min="11001" max="11001" width="17.7109375" style="3" customWidth="1"/>
    <col min="11002" max="11002" width="18" style="3" customWidth="1"/>
    <col min="11003" max="11003" width="0" style="3" hidden="1" customWidth="1"/>
    <col min="11004" max="11004" width="17.42578125" style="3" customWidth="1"/>
    <col min="11005" max="11005" width="14.5703125" style="3" customWidth="1"/>
    <col min="11006" max="11009" width="16.85546875" style="3" customWidth="1"/>
    <col min="11010" max="11010" width="17.140625" style="3" customWidth="1"/>
    <col min="11011" max="11015" width="0" style="3" hidden="1" customWidth="1"/>
    <col min="11016" max="11016" width="13.140625" style="3" bestFit="1" customWidth="1"/>
    <col min="11017" max="11017" width="16.140625" style="3" customWidth="1"/>
    <col min="11018" max="11250" width="9.140625" style="3"/>
    <col min="11251" max="11251" width="18.85546875" style="3" customWidth="1"/>
    <col min="11252" max="11252" width="28" style="3" customWidth="1"/>
    <col min="11253" max="11253" width="16.42578125" style="3" customWidth="1"/>
    <col min="11254" max="11254" width="0" style="3" hidden="1" customWidth="1"/>
    <col min="11255" max="11255" width="18.85546875" style="3" customWidth="1"/>
    <col min="11256" max="11256" width="18.140625" style="3" customWidth="1"/>
    <col min="11257" max="11257" width="17.7109375" style="3" customWidth="1"/>
    <col min="11258" max="11258" width="18" style="3" customWidth="1"/>
    <col min="11259" max="11259" width="0" style="3" hidden="1" customWidth="1"/>
    <col min="11260" max="11260" width="17.42578125" style="3" customWidth="1"/>
    <col min="11261" max="11261" width="14.5703125" style="3" customWidth="1"/>
    <col min="11262" max="11265" width="16.85546875" style="3" customWidth="1"/>
    <col min="11266" max="11266" width="17.140625" style="3" customWidth="1"/>
    <col min="11267" max="11271" width="0" style="3" hidden="1" customWidth="1"/>
    <col min="11272" max="11272" width="13.140625" style="3" bestFit="1" customWidth="1"/>
    <col min="11273" max="11273" width="16.140625" style="3" customWidth="1"/>
    <col min="11274" max="11506" width="9.140625" style="3"/>
    <col min="11507" max="11507" width="18.85546875" style="3" customWidth="1"/>
    <col min="11508" max="11508" width="28" style="3" customWidth="1"/>
    <col min="11509" max="11509" width="16.42578125" style="3" customWidth="1"/>
    <col min="11510" max="11510" width="0" style="3" hidden="1" customWidth="1"/>
    <col min="11511" max="11511" width="18.85546875" style="3" customWidth="1"/>
    <col min="11512" max="11512" width="18.140625" style="3" customWidth="1"/>
    <col min="11513" max="11513" width="17.7109375" style="3" customWidth="1"/>
    <col min="11514" max="11514" width="18" style="3" customWidth="1"/>
    <col min="11515" max="11515" width="0" style="3" hidden="1" customWidth="1"/>
    <col min="11516" max="11516" width="17.42578125" style="3" customWidth="1"/>
    <col min="11517" max="11517" width="14.5703125" style="3" customWidth="1"/>
    <col min="11518" max="11521" width="16.85546875" style="3" customWidth="1"/>
    <col min="11522" max="11522" width="17.140625" style="3" customWidth="1"/>
    <col min="11523" max="11527" width="0" style="3" hidden="1" customWidth="1"/>
    <col min="11528" max="11528" width="13.140625" style="3" bestFit="1" customWidth="1"/>
    <col min="11529" max="11529" width="16.140625" style="3" customWidth="1"/>
    <col min="11530" max="11762" width="9.140625" style="3"/>
    <col min="11763" max="11763" width="18.85546875" style="3" customWidth="1"/>
    <col min="11764" max="11764" width="28" style="3" customWidth="1"/>
    <col min="11765" max="11765" width="16.42578125" style="3" customWidth="1"/>
    <col min="11766" max="11766" width="0" style="3" hidden="1" customWidth="1"/>
    <col min="11767" max="11767" width="18.85546875" style="3" customWidth="1"/>
    <col min="11768" max="11768" width="18.140625" style="3" customWidth="1"/>
    <col min="11769" max="11769" width="17.7109375" style="3" customWidth="1"/>
    <col min="11770" max="11770" width="18" style="3" customWidth="1"/>
    <col min="11771" max="11771" width="0" style="3" hidden="1" customWidth="1"/>
    <col min="11772" max="11772" width="17.42578125" style="3" customWidth="1"/>
    <col min="11773" max="11773" width="14.5703125" style="3" customWidth="1"/>
    <col min="11774" max="11777" width="16.85546875" style="3" customWidth="1"/>
    <col min="11778" max="11778" width="17.140625" style="3" customWidth="1"/>
    <col min="11779" max="11783" width="0" style="3" hidden="1" customWidth="1"/>
    <col min="11784" max="11784" width="13.140625" style="3" bestFit="1" customWidth="1"/>
    <col min="11785" max="11785" width="16.140625" style="3" customWidth="1"/>
    <col min="11786" max="12018" width="9.140625" style="3"/>
    <col min="12019" max="12019" width="18.85546875" style="3" customWidth="1"/>
    <col min="12020" max="12020" width="28" style="3" customWidth="1"/>
    <col min="12021" max="12021" width="16.42578125" style="3" customWidth="1"/>
    <col min="12022" max="12022" width="0" style="3" hidden="1" customWidth="1"/>
    <col min="12023" max="12023" width="18.85546875" style="3" customWidth="1"/>
    <col min="12024" max="12024" width="18.140625" style="3" customWidth="1"/>
    <col min="12025" max="12025" width="17.7109375" style="3" customWidth="1"/>
    <col min="12026" max="12026" width="18" style="3" customWidth="1"/>
    <col min="12027" max="12027" width="0" style="3" hidden="1" customWidth="1"/>
    <col min="12028" max="12028" width="17.42578125" style="3" customWidth="1"/>
    <col min="12029" max="12029" width="14.5703125" style="3" customWidth="1"/>
    <col min="12030" max="12033" width="16.85546875" style="3" customWidth="1"/>
    <col min="12034" max="12034" width="17.140625" style="3" customWidth="1"/>
    <col min="12035" max="12039" width="0" style="3" hidden="1" customWidth="1"/>
    <col min="12040" max="12040" width="13.140625" style="3" bestFit="1" customWidth="1"/>
    <col min="12041" max="12041" width="16.140625" style="3" customWidth="1"/>
    <col min="12042" max="12274" width="9.140625" style="3"/>
    <col min="12275" max="12275" width="18.85546875" style="3" customWidth="1"/>
    <col min="12276" max="12276" width="28" style="3" customWidth="1"/>
    <col min="12277" max="12277" width="16.42578125" style="3" customWidth="1"/>
    <col min="12278" max="12278" width="0" style="3" hidden="1" customWidth="1"/>
    <col min="12279" max="12279" width="18.85546875" style="3" customWidth="1"/>
    <col min="12280" max="12280" width="18.140625" style="3" customWidth="1"/>
    <col min="12281" max="12281" width="17.7109375" style="3" customWidth="1"/>
    <col min="12282" max="12282" width="18" style="3" customWidth="1"/>
    <col min="12283" max="12283" width="0" style="3" hidden="1" customWidth="1"/>
    <col min="12284" max="12284" width="17.42578125" style="3" customWidth="1"/>
    <col min="12285" max="12285" width="14.5703125" style="3" customWidth="1"/>
    <col min="12286" max="12289" width="16.85546875" style="3" customWidth="1"/>
    <col min="12290" max="12290" width="17.140625" style="3" customWidth="1"/>
    <col min="12291" max="12295" width="0" style="3" hidden="1" customWidth="1"/>
    <col min="12296" max="12296" width="13.140625" style="3" bestFit="1" customWidth="1"/>
    <col min="12297" max="12297" width="16.140625" style="3" customWidth="1"/>
    <col min="12298" max="12530" width="9.140625" style="3"/>
    <col min="12531" max="12531" width="18.85546875" style="3" customWidth="1"/>
    <col min="12532" max="12532" width="28" style="3" customWidth="1"/>
    <col min="12533" max="12533" width="16.42578125" style="3" customWidth="1"/>
    <col min="12534" max="12534" width="0" style="3" hidden="1" customWidth="1"/>
    <col min="12535" max="12535" width="18.85546875" style="3" customWidth="1"/>
    <col min="12536" max="12536" width="18.140625" style="3" customWidth="1"/>
    <col min="12537" max="12537" width="17.7109375" style="3" customWidth="1"/>
    <col min="12538" max="12538" width="18" style="3" customWidth="1"/>
    <col min="12539" max="12539" width="0" style="3" hidden="1" customWidth="1"/>
    <col min="12540" max="12540" width="17.42578125" style="3" customWidth="1"/>
    <col min="12541" max="12541" width="14.5703125" style="3" customWidth="1"/>
    <col min="12542" max="12545" width="16.85546875" style="3" customWidth="1"/>
    <col min="12546" max="12546" width="17.140625" style="3" customWidth="1"/>
    <col min="12547" max="12551" width="0" style="3" hidden="1" customWidth="1"/>
    <col min="12552" max="12552" width="13.140625" style="3" bestFit="1" customWidth="1"/>
    <col min="12553" max="12553" width="16.140625" style="3" customWidth="1"/>
    <col min="12554" max="12786" width="9.140625" style="3"/>
    <col min="12787" max="12787" width="18.85546875" style="3" customWidth="1"/>
    <col min="12788" max="12788" width="28" style="3" customWidth="1"/>
    <col min="12789" max="12789" width="16.42578125" style="3" customWidth="1"/>
    <col min="12790" max="12790" width="0" style="3" hidden="1" customWidth="1"/>
    <col min="12791" max="12791" width="18.85546875" style="3" customWidth="1"/>
    <col min="12792" max="12792" width="18.140625" style="3" customWidth="1"/>
    <col min="12793" max="12793" width="17.7109375" style="3" customWidth="1"/>
    <col min="12794" max="12794" width="18" style="3" customWidth="1"/>
    <col min="12795" max="12795" width="0" style="3" hidden="1" customWidth="1"/>
    <col min="12796" max="12796" width="17.42578125" style="3" customWidth="1"/>
    <col min="12797" max="12797" width="14.5703125" style="3" customWidth="1"/>
    <col min="12798" max="12801" width="16.85546875" style="3" customWidth="1"/>
    <col min="12802" max="12802" width="17.140625" style="3" customWidth="1"/>
    <col min="12803" max="12807" width="0" style="3" hidden="1" customWidth="1"/>
    <col min="12808" max="12808" width="13.140625" style="3" bestFit="1" customWidth="1"/>
    <col min="12809" max="12809" width="16.140625" style="3" customWidth="1"/>
    <col min="12810" max="13042" width="9.140625" style="3"/>
    <col min="13043" max="13043" width="18.85546875" style="3" customWidth="1"/>
    <col min="13044" max="13044" width="28" style="3" customWidth="1"/>
    <col min="13045" max="13045" width="16.42578125" style="3" customWidth="1"/>
    <col min="13046" max="13046" width="0" style="3" hidden="1" customWidth="1"/>
    <col min="13047" max="13047" width="18.85546875" style="3" customWidth="1"/>
    <col min="13048" max="13048" width="18.140625" style="3" customWidth="1"/>
    <col min="13049" max="13049" width="17.7109375" style="3" customWidth="1"/>
    <col min="13050" max="13050" width="18" style="3" customWidth="1"/>
    <col min="13051" max="13051" width="0" style="3" hidden="1" customWidth="1"/>
    <col min="13052" max="13052" width="17.42578125" style="3" customWidth="1"/>
    <col min="13053" max="13053" width="14.5703125" style="3" customWidth="1"/>
    <col min="13054" max="13057" width="16.85546875" style="3" customWidth="1"/>
    <col min="13058" max="13058" width="17.140625" style="3" customWidth="1"/>
    <col min="13059" max="13063" width="0" style="3" hidden="1" customWidth="1"/>
    <col min="13064" max="13064" width="13.140625" style="3" bestFit="1" customWidth="1"/>
    <col min="13065" max="13065" width="16.140625" style="3" customWidth="1"/>
    <col min="13066" max="13298" width="9.140625" style="3"/>
    <col min="13299" max="13299" width="18.85546875" style="3" customWidth="1"/>
    <col min="13300" max="13300" width="28" style="3" customWidth="1"/>
    <col min="13301" max="13301" width="16.42578125" style="3" customWidth="1"/>
    <col min="13302" max="13302" width="0" style="3" hidden="1" customWidth="1"/>
    <col min="13303" max="13303" width="18.85546875" style="3" customWidth="1"/>
    <col min="13304" max="13304" width="18.140625" style="3" customWidth="1"/>
    <col min="13305" max="13305" width="17.7109375" style="3" customWidth="1"/>
    <col min="13306" max="13306" width="18" style="3" customWidth="1"/>
    <col min="13307" max="13307" width="0" style="3" hidden="1" customWidth="1"/>
    <col min="13308" max="13308" width="17.42578125" style="3" customWidth="1"/>
    <col min="13309" max="13309" width="14.5703125" style="3" customWidth="1"/>
    <col min="13310" max="13313" width="16.85546875" style="3" customWidth="1"/>
    <col min="13314" max="13314" width="17.140625" style="3" customWidth="1"/>
    <col min="13315" max="13319" width="0" style="3" hidden="1" customWidth="1"/>
    <col min="13320" max="13320" width="13.140625" style="3" bestFit="1" customWidth="1"/>
    <col min="13321" max="13321" width="16.140625" style="3" customWidth="1"/>
    <col min="13322" max="13554" width="9.140625" style="3"/>
    <col min="13555" max="13555" width="18.85546875" style="3" customWidth="1"/>
    <col min="13556" max="13556" width="28" style="3" customWidth="1"/>
    <col min="13557" max="13557" width="16.42578125" style="3" customWidth="1"/>
    <col min="13558" max="13558" width="0" style="3" hidden="1" customWidth="1"/>
    <col min="13559" max="13559" width="18.85546875" style="3" customWidth="1"/>
    <col min="13560" max="13560" width="18.140625" style="3" customWidth="1"/>
    <col min="13561" max="13561" width="17.7109375" style="3" customWidth="1"/>
    <col min="13562" max="13562" width="18" style="3" customWidth="1"/>
    <col min="13563" max="13563" width="0" style="3" hidden="1" customWidth="1"/>
    <col min="13564" max="13564" width="17.42578125" style="3" customWidth="1"/>
    <col min="13565" max="13565" width="14.5703125" style="3" customWidth="1"/>
    <col min="13566" max="13569" width="16.85546875" style="3" customWidth="1"/>
    <col min="13570" max="13570" width="17.140625" style="3" customWidth="1"/>
    <col min="13571" max="13575" width="0" style="3" hidden="1" customWidth="1"/>
    <col min="13576" max="13576" width="13.140625" style="3" bestFit="1" customWidth="1"/>
    <col min="13577" max="13577" width="16.140625" style="3" customWidth="1"/>
    <col min="13578" max="13810" width="9.140625" style="3"/>
    <col min="13811" max="13811" width="18.85546875" style="3" customWidth="1"/>
    <col min="13812" max="13812" width="28" style="3" customWidth="1"/>
    <col min="13813" max="13813" width="16.42578125" style="3" customWidth="1"/>
    <col min="13814" max="13814" width="0" style="3" hidden="1" customWidth="1"/>
    <col min="13815" max="13815" width="18.85546875" style="3" customWidth="1"/>
    <col min="13816" max="13816" width="18.140625" style="3" customWidth="1"/>
    <col min="13817" max="13817" width="17.7109375" style="3" customWidth="1"/>
    <col min="13818" max="13818" width="18" style="3" customWidth="1"/>
    <col min="13819" max="13819" width="0" style="3" hidden="1" customWidth="1"/>
    <col min="13820" max="13820" width="17.42578125" style="3" customWidth="1"/>
    <col min="13821" max="13821" width="14.5703125" style="3" customWidth="1"/>
    <col min="13822" max="13825" width="16.85546875" style="3" customWidth="1"/>
    <col min="13826" max="13826" width="17.140625" style="3" customWidth="1"/>
    <col min="13827" max="13831" width="0" style="3" hidden="1" customWidth="1"/>
    <col min="13832" max="13832" width="13.140625" style="3" bestFit="1" customWidth="1"/>
    <col min="13833" max="13833" width="16.140625" style="3" customWidth="1"/>
    <col min="13834" max="14066" width="9.140625" style="3"/>
    <col min="14067" max="14067" width="18.85546875" style="3" customWidth="1"/>
    <col min="14068" max="14068" width="28" style="3" customWidth="1"/>
    <col min="14069" max="14069" width="16.42578125" style="3" customWidth="1"/>
    <col min="14070" max="14070" width="0" style="3" hidden="1" customWidth="1"/>
    <col min="14071" max="14071" width="18.85546875" style="3" customWidth="1"/>
    <col min="14072" max="14072" width="18.140625" style="3" customWidth="1"/>
    <col min="14073" max="14073" width="17.7109375" style="3" customWidth="1"/>
    <col min="14074" max="14074" width="18" style="3" customWidth="1"/>
    <col min="14075" max="14075" width="0" style="3" hidden="1" customWidth="1"/>
    <col min="14076" max="14076" width="17.42578125" style="3" customWidth="1"/>
    <col min="14077" max="14077" width="14.5703125" style="3" customWidth="1"/>
    <col min="14078" max="14081" width="16.85546875" style="3" customWidth="1"/>
    <col min="14082" max="14082" width="17.140625" style="3" customWidth="1"/>
    <col min="14083" max="14087" width="0" style="3" hidden="1" customWidth="1"/>
    <col min="14088" max="14088" width="13.140625" style="3" bestFit="1" customWidth="1"/>
    <col min="14089" max="14089" width="16.140625" style="3" customWidth="1"/>
    <col min="14090" max="14322" width="9.140625" style="3"/>
    <col min="14323" max="14323" width="18.85546875" style="3" customWidth="1"/>
    <col min="14324" max="14324" width="28" style="3" customWidth="1"/>
    <col min="14325" max="14325" width="16.42578125" style="3" customWidth="1"/>
    <col min="14326" max="14326" width="0" style="3" hidden="1" customWidth="1"/>
    <col min="14327" max="14327" width="18.85546875" style="3" customWidth="1"/>
    <col min="14328" max="14328" width="18.140625" style="3" customWidth="1"/>
    <col min="14329" max="14329" width="17.7109375" style="3" customWidth="1"/>
    <col min="14330" max="14330" width="18" style="3" customWidth="1"/>
    <col min="14331" max="14331" width="0" style="3" hidden="1" customWidth="1"/>
    <col min="14332" max="14332" width="17.42578125" style="3" customWidth="1"/>
    <col min="14333" max="14333" width="14.5703125" style="3" customWidth="1"/>
    <col min="14334" max="14337" width="16.85546875" style="3" customWidth="1"/>
    <col min="14338" max="14338" width="17.140625" style="3" customWidth="1"/>
    <col min="14339" max="14343" width="0" style="3" hidden="1" customWidth="1"/>
    <col min="14344" max="14344" width="13.140625" style="3" bestFit="1" customWidth="1"/>
    <col min="14345" max="14345" width="16.140625" style="3" customWidth="1"/>
    <col min="14346" max="14578" width="9.140625" style="3"/>
    <col min="14579" max="14579" width="18.85546875" style="3" customWidth="1"/>
    <col min="14580" max="14580" width="28" style="3" customWidth="1"/>
    <col min="14581" max="14581" width="16.42578125" style="3" customWidth="1"/>
    <col min="14582" max="14582" width="0" style="3" hidden="1" customWidth="1"/>
    <col min="14583" max="14583" width="18.85546875" style="3" customWidth="1"/>
    <col min="14584" max="14584" width="18.140625" style="3" customWidth="1"/>
    <col min="14585" max="14585" width="17.7109375" style="3" customWidth="1"/>
    <col min="14586" max="14586" width="18" style="3" customWidth="1"/>
    <col min="14587" max="14587" width="0" style="3" hidden="1" customWidth="1"/>
    <col min="14588" max="14588" width="17.42578125" style="3" customWidth="1"/>
    <col min="14589" max="14589" width="14.5703125" style="3" customWidth="1"/>
    <col min="14590" max="14593" width="16.85546875" style="3" customWidth="1"/>
    <col min="14594" max="14594" width="17.140625" style="3" customWidth="1"/>
    <col min="14595" max="14599" width="0" style="3" hidden="1" customWidth="1"/>
    <col min="14600" max="14600" width="13.140625" style="3" bestFit="1" customWidth="1"/>
    <col min="14601" max="14601" width="16.140625" style="3" customWidth="1"/>
    <col min="14602" max="14834" width="9.140625" style="3"/>
    <col min="14835" max="14835" width="18.85546875" style="3" customWidth="1"/>
    <col min="14836" max="14836" width="28" style="3" customWidth="1"/>
    <col min="14837" max="14837" width="16.42578125" style="3" customWidth="1"/>
    <col min="14838" max="14838" width="0" style="3" hidden="1" customWidth="1"/>
    <col min="14839" max="14839" width="18.85546875" style="3" customWidth="1"/>
    <col min="14840" max="14840" width="18.140625" style="3" customWidth="1"/>
    <col min="14841" max="14841" width="17.7109375" style="3" customWidth="1"/>
    <col min="14842" max="14842" width="18" style="3" customWidth="1"/>
    <col min="14843" max="14843" width="0" style="3" hidden="1" customWidth="1"/>
    <col min="14844" max="14844" width="17.42578125" style="3" customWidth="1"/>
    <col min="14845" max="14845" width="14.5703125" style="3" customWidth="1"/>
    <col min="14846" max="14849" width="16.85546875" style="3" customWidth="1"/>
    <col min="14850" max="14850" width="17.140625" style="3" customWidth="1"/>
    <col min="14851" max="14855" width="0" style="3" hidden="1" customWidth="1"/>
    <col min="14856" max="14856" width="13.140625" style="3" bestFit="1" customWidth="1"/>
    <col min="14857" max="14857" width="16.140625" style="3" customWidth="1"/>
    <col min="14858" max="15090" width="9.140625" style="3"/>
    <col min="15091" max="15091" width="18.85546875" style="3" customWidth="1"/>
    <col min="15092" max="15092" width="28" style="3" customWidth="1"/>
    <col min="15093" max="15093" width="16.42578125" style="3" customWidth="1"/>
    <col min="15094" max="15094" width="0" style="3" hidden="1" customWidth="1"/>
    <col min="15095" max="15095" width="18.85546875" style="3" customWidth="1"/>
    <col min="15096" max="15096" width="18.140625" style="3" customWidth="1"/>
    <col min="15097" max="15097" width="17.7109375" style="3" customWidth="1"/>
    <col min="15098" max="15098" width="18" style="3" customWidth="1"/>
    <col min="15099" max="15099" width="0" style="3" hidden="1" customWidth="1"/>
    <col min="15100" max="15100" width="17.42578125" style="3" customWidth="1"/>
    <col min="15101" max="15101" width="14.5703125" style="3" customWidth="1"/>
    <col min="15102" max="15105" width="16.85546875" style="3" customWidth="1"/>
    <col min="15106" max="15106" width="17.140625" style="3" customWidth="1"/>
    <col min="15107" max="15111" width="0" style="3" hidden="1" customWidth="1"/>
    <col min="15112" max="15112" width="13.140625" style="3" bestFit="1" customWidth="1"/>
    <col min="15113" max="15113" width="16.140625" style="3" customWidth="1"/>
    <col min="15114" max="15346" width="9.140625" style="3"/>
    <col min="15347" max="15347" width="18.85546875" style="3" customWidth="1"/>
    <col min="15348" max="15348" width="28" style="3" customWidth="1"/>
    <col min="15349" max="15349" width="16.42578125" style="3" customWidth="1"/>
    <col min="15350" max="15350" width="0" style="3" hidden="1" customWidth="1"/>
    <col min="15351" max="15351" width="18.85546875" style="3" customWidth="1"/>
    <col min="15352" max="15352" width="18.140625" style="3" customWidth="1"/>
    <col min="15353" max="15353" width="17.7109375" style="3" customWidth="1"/>
    <col min="15354" max="15354" width="18" style="3" customWidth="1"/>
    <col min="15355" max="15355" width="0" style="3" hidden="1" customWidth="1"/>
    <col min="15356" max="15356" width="17.42578125" style="3" customWidth="1"/>
    <col min="15357" max="15357" width="14.5703125" style="3" customWidth="1"/>
    <col min="15358" max="15361" width="16.85546875" style="3" customWidth="1"/>
    <col min="15362" max="15362" width="17.140625" style="3" customWidth="1"/>
    <col min="15363" max="15367" width="0" style="3" hidden="1" customWidth="1"/>
    <col min="15368" max="15368" width="13.140625" style="3" bestFit="1" customWidth="1"/>
    <col min="15369" max="15369" width="16.140625" style="3" customWidth="1"/>
    <col min="15370" max="15602" width="9.140625" style="3"/>
    <col min="15603" max="15603" width="18.85546875" style="3" customWidth="1"/>
    <col min="15604" max="15604" width="28" style="3" customWidth="1"/>
    <col min="15605" max="15605" width="16.42578125" style="3" customWidth="1"/>
    <col min="15606" max="15606" width="0" style="3" hidden="1" customWidth="1"/>
    <col min="15607" max="15607" width="18.85546875" style="3" customWidth="1"/>
    <col min="15608" max="15608" width="18.140625" style="3" customWidth="1"/>
    <col min="15609" max="15609" width="17.7109375" style="3" customWidth="1"/>
    <col min="15610" max="15610" width="18" style="3" customWidth="1"/>
    <col min="15611" max="15611" width="0" style="3" hidden="1" customWidth="1"/>
    <col min="15612" max="15612" width="17.42578125" style="3" customWidth="1"/>
    <col min="15613" max="15613" width="14.5703125" style="3" customWidth="1"/>
    <col min="15614" max="15617" width="16.85546875" style="3" customWidth="1"/>
    <col min="15618" max="15618" width="17.140625" style="3" customWidth="1"/>
    <col min="15619" max="15623" width="0" style="3" hidden="1" customWidth="1"/>
    <col min="15624" max="15624" width="13.140625" style="3" bestFit="1" customWidth="1"/>
    <col min="15625" max="15625" width="16.140625" style="3" customWidth="1"/>
    <col min="15626" max="15858" width="9.140625" style="3"/>
    <col min="15859" max="15859" width="18.85546875" style="3" customWidth="1"/>
    <col min="15860" max="15860" width="28" style="3" customWidth="1"/>
    <col min="15861" max="15861" width="16.42578125" style="3" customWidth="1"/>
    <col min="15862" max="15862" width="0" style="3" hidden="1" customWidth="1"/>
    <col min="15863" max="15863" width="18.85546875" style="3" customWidth="1"/>
    <col min="15864" max="15864" width="18.140625" style="3" customWidth="1"/>
    <col min="15865" max="15865" width="17.7109375" style="3" customWidth="1"/>
    <col min="15866" max="15866" width="18" style="3" customWidth="1"/>
    <col min="15867" max="15867" width="0" style="3" hidden="1" customWidth="1"/>
    <col min="15868" max="15868" width="17.42578125" style="3" customWidth="1"/>
    <col min="15869" max="15869" width="14.5703125" style="3" customWidth="1"/>
    <col min="15870" max="15873" width="16.85546875" style="3" customWidth="1"/>
    <col min="15874" max="15874" width="17.140625" style="3" customWidth="1"/>
    <col min="15875" max="15879" width="0" style="3" hidden="1" customWidth="1"/>
    <col min="15880" max="15880" width="13.140625" style="3" bestFit="1" customWidth="1"/>
    <col min="15881" max="15881" width="16.140625" style="3" customWidth="1"/>
    <col min="15882" max="16114" width="9.140625" style="3"/>
    <col min="16115" max="16115" width="18.85546875" style="3" customWidth="1"/>
    <col min="16116" max="16116" width="28" style="3" customWidth="1"/>
    <col min="16117" max="16117" width="16.42578125" style="3" customWidth="1"/>
    <col min="16118" max="16118" width="0" style="3" hidden="1" customWidth="1"/>
    <col min="16119" max="16119" width="18.85546875" style="3" customWidth="1"/>
    <col min="16120" max="16120" width="18.140625" style="3" customWidth="1"/>
    <col min="16121" max="16121" width="17.7109375" style="3" customWidth="1"/>
    <col min="16122" max="16122" width="18" style="3" customWidth="1"/>
    <col min="16123" max="16123" width="0" style="3" hidden="1" customWidth="1"/>
    <col min="16124" max="16124" width="17.42578125" style="3" customWidth="1"/>
    <col min="16125" max="16125" width="14.5703125" style="3" customWidth="1"/>
    <col min="16126" max="16129" width="16.85546875" style="3" customWidth="1"/>
    <col min="16130" max="16130" width="17.140625" style="3" customWidth="1"/>
    <col min="16131" max="16135" width="0" style="3" hidden="1" customWidth="1"/>
    <col min="16136" max="16136" width="13.140625" style="3" bestFit="1" customWidth="1"/>
    <col min="16137" max="16137" width="16.140625" style="3" customWidth="1"/>
    <col min="16138" max="16384" width="9.140625" style="3"/>
  </cols>
  <sheetData>
    <row r="1" spans="1:16" s="30" customFormat="1" ht="25.5" customHeight="1" x14ac:dyDescent="0.3">
      <c r="A1" s="251" t="s">
        <v>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s="30" customFormat="1" ht="28.5" customHeight="1" x14ac:dyDescent="0.3">
      <c r="A2" s="251" t="s">
        <v>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s="30" customFormat="1" ht="27" customHeight="1" x14ac:dyDescent="0.3">
      <c r="A3" s="251" t="s">
        <v>93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s="30" customFormat="1" ht="15" customHeight="1" thickBot="1" x14ac:dyDescent="0.3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75" customHeight="1" x14ac:dyDescent="0.25">
      <c r="A5" s="252" t="s">
        <v>0</v>
      </c>
      <c r="B5" s="255" t="s">
        <v>8</v>
      </c>
      <c r="C5" s="255" t="s">
        <v>101</v>
      </c>
      <c r="D5" s="257" t="s">
        <v>91</v>
      </c>
      <c r="E5" s="257"/>
      <c r="F5" s="257"/>
      <c r="G5" s="257"/>
      <c r="H5" s="257"/>
      <c r="I5" s="257" t="s">
        <v>92</v>
      </c>
      <c r="J5" s="257"/>
      <c r="K5" s="257"/>
      <c r="L5" s="257"/>
      <c r="M5" s="262" t="s">
        <v>55</v>
      </c>
      <c r="N5" s="262"/>
      <c r="O5" s="262"/>
      <c r="P5" s="263"/>
    </row>
    <row r="6" spans="1:16" ht="78.75" x14ac:dyDescent="0.25">
      <c r="A6" s="253"/>
      <c r="B6" s="256"/>
      <c r="C6" s="256"/>
      <c r="D6" s="4" t="s">
        <v>13</v>
      </c>
      <c r="E6" s="5" t="s">
        <v>14</v>
      </c>
      <c r="F6" s="264" t="s">
        <v>15</v>
      </c>
      <c r="G6" s="266" t="s">
        <v>16</v>
      </c>
      <c r="H6" s="267" t="s">
        <v>17</v>
      </c>
      <c r="I6" s="4" t="s">
        <v>18</v>
      </c>
      <c r="J6" s="264" t="s">
        <v>15</v>
      </c>
      <c r="K6" s="266" t="s">
        <v>16</v>
      </c>
      <c r="L6" s="267" t="s">
        <v>17</v>
      </c>
      <c r="M6" s="4" t="s">
        <v>102</v>
      </c>
      <c r="N6" s="201" t="s">
        <v>10</v>
      </c>
      <c r="O6" s="201" t="s">
        <v>11</v>
      </c>
      <c r="P6" s="279" t="s">
        <v>12</v>
      </c>
    </row>
    <row r="7" spans="1:16" x14ac:dyDescent="0.25">
      <c r="A7" s="254"/>
      <c r="B7" s="256"/>
      <c r="C7" s="256"/>
      <c r="D7" s="201" t="s">
        <v>19</v>
      </c>
      <c r="E7" s="105" t="s">
        <v>19</v>
      </c>
      <c r="F7" s="265"/>
      <c r="G7" s="256"/>
      <c r="H7" s="268"/>
      <c r="I7" s="201" t="s">
        <v>19</v>
      </c>
      <c r="J7" s="265"/>
      <c r="K7" s="256"/>
      <c r="L7" s="268"/>
      <c r="M7" s="201" t="s">
        <v>19</v>
      </c>
      <c r="N7" s="66"/>
      <c r="O7" s="66"/>
      <c r="P7" s="280"/>
    </row>
    <row r="8" spans="1:16" s="22" customFormat="1" ht="16.5" thickBot="1" x14ac:dyDescent="0.3">
      <c r="A8" s="203">
        <v>1</v>
      </c>
      <c r="B8" s="201">
        <v>2</v>
      </c>
      <c r="C8" s="201">
        <v>3</v>
      </c>
      <c r="D8" s="201">
        <v>4</v>
      </c>
      <c r="E8" s="105"/>
      <c r="F8" s="200">
        <v>5</v>
      </c>
      <c r="G8" s="201">
        <v>6</v>
      </c>
      <c r="H8" s="202">
        <v>7</v>
      </c>
      <c r="I8" s="201">
        <v>8</v>
      </c>
      <c r="J8" s="200">
        <v>9</v>
      </c>
      <c r="K8" s="201">
        <v>10</v>
      </c>
      <c r="L8" s="202">
        <v>11</v>
      </c>
      <c r="M8" s="201">
        <v>12</v>
      </c>
      <c r="N8" s="201">
        <v>13</v>
      </c>
      <c r="O8" s="201">
        <v>14</v>
      </c>
      <c r="P8" s="225">
        <v>15</v>
      </c>
    </row>
    <row r="9" spans="1:16" ht="16.5" thickBot="1" x14ac:dyDescent="0.3">
      <c r="A9" s="259" t="s">
        <v>94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</row>
    <row r="10" spans="1:16" x14ac:dyDescent="0.25">
      <c r="A10" s="290" t="s">
        <v>98</v>
      </c>
      <c r="B10" s="284" t="s">
        <v>95</v>
      </c>
      <c r="C10" s="182" t="s">
        <v>44</v>
      </c>
      <c r="D10" s="183">
        <f>763600</f>
        <v>763600</v>
      </c>
      <c r="E10" s="184"/>
      <c r="F10" s="185">
        <f>G10/D10</f>
        <v>1.918532399161865</v>
      </c>
      <c r="G10" s="186">
        <f>1464991.34</f>
        <v>1464991.34</v>
      </c>
      <c r="H10" s="186">
        <f>G10*1.18</f>
        <v>1728689.7812000001</v>
      </c>
      <c r="I10" s="183">
        <f>373926</f>
        <v>373926</v>
      </c>
      <c r="J10" s="187">
        <f>K10/I10</f>
        <v>2.0465056455020512</v>
      </c>
      <c r="K10" s="186">
        <f>765241.67</f>
        <v>765241.67</v>
      </c>
      <c r="L10" s="186">
        <f>K10*1.18</f>
        <v>902985.17059999995</v>
      </c>
      <c r="M10" s="188">
        <f t="shared" ref="M10:M15" si="0">D10+I10</f>
        <v>1137526</v>
      </c>
      <c r="N10" s="189">
        <f t="shared" ref="N10:N15" si="1">G10+K10</f>
        <v>2230233.0100000002</v>
      </c>
      <c r="O10" s="189">
        <f t="shared" ref="O10:O15" si="2">P10-N10</f>
        <v>401441.93999999994</v>
      </c>
      <c r="P10" s="190">
        <f t="shared" ref="P10:P15" si="3">ROUND(L10+H10,2)</f>
        <v>2631674.9500000002</v>
      </c>
    </row>
    <row r="11" spans="1:16" ht="19.5" customHeight="1" x14ac:dyDescent="0.25">
      <c r="A11" s="291"/>
      <c r="B11" s="285"/>
      <c r="C11" s="204" t="s">
        <v>50</v>
      </c>
      <c r="D11" s="67">
        <v>2900</v>
      </c>
      <c r="E11" s="8"/>
      <c r="F11" s="68">
        <f>G11/D11</f>
        <v>1.915255172413793</v>
      </c>
      <c r="G11" s="23">
        <v>5554.24</v>
      </c>
      <c r="H11" s="23">
        <f>G11*1.18</f>
        <v>6554.0031999999992</v>
      </c>
      <c r="I11" s="67">
        <v>1420</v>
      </c>
      <c r="J11" s="174">
        <f>K11/I11</f>
        <v>2.0423732394366199</v>
      </c>
      <c r="K11" s="23">
        <v>2900.17</v>
      </c>
      <c r="L11" s="23">
        <f>K11*1.18</f>
        <v>3422.2006000000001</v>
      </c>
      <c r="M11" s="108">
        <f t="shared" si="0"/>
        <v>4320</v>
      </c>
      <c r="N11" s="109">
        <f t="shared" si="1"/>
        <v>8454.41</v>
      </c>
      <c r="O11" s="109">
        <f t="shared" si="2"/>
        <v>1521.7900000000009</v>
      </c>
      <c r="P11" s="101">
        <f t="shared" si="3"/>
        <v>9976.2000000000007</v>
      </c>
    </row>
    <row r="12" spans="1:16" x14ac:dyDescent="0.25">
      <c r="A12" s="286" t="s">
        <v>99</v>
      </c>
      <c r="B12" s="283" t="s">
        <v>96</v>
      </c>
      <c r="C12" s="204" t="s">
        <v>44</v>
      </c>
      <c r="D12" s="141">
        <f>563819</f>
        <v>563819</v>
      </c>
      <c r="E12" s="139"/>
      <c r="F12" s="143">
        <f t="shared" ref="F12:F35" si="4">G12/D12</f>
        <v>1.8485781607217919</v>
      </c>
      <c r="G12" s="144">
        <f>1042263.49</f>
        <v>1042263.49</v>
      </c>
      <c r="H12" s="144">
        <f t="shared" ref="H12:H22" si="5">G12*1.18</f>
        <v>1229870.9182</v>
      </c>
      <c r="I12" s="141">
        <v>0</v>
      </c>
      <c r="J12" s="175">
        <v>0</v>
      </c>
      <c r="K12" s="144">
        <v>0</v>
      </c>
      <c r="L12" s="144">
        <f t="shared" ref="L12:L29" si="6">K12*1.18</f>
        <v>0</v>
      </c>
      <c r="M12" s="118">
        <f t="shared" si="0"/>
        <v>563819</v>
      </c>
      <c r="N12" s="13">
        <f t="shared" si="1"/>
        <v>1042263.49</v>
      </c>
      <c r="O12" s="13">
        <f t="shared" si="2"/>
        <v>187607.42999999993</v>
      </c>
      <c r="P12" s="96">
        <f t="shared" si="3"/>
        <v>1229870.92</v>
      </c>
    </row>
    <row r="13" spans="1:16" ht="20.25" customHeight="1" x14ac:dyDescent="0.25">
      <c r="A13" s="288"/>
      <c r="B13" s="283"/>
      <c r="C13" s="204" t="s">
        <v>50</v>
      </c>
      <c r="D13" s="178">
        <v>9292</v>
      </c>
      <c r="E13" s="179"/>
      <c r="F13" s="180">
        <f>G13/D13</f>
        <v>1.8474580284115369</v>
      </c>
      <c r="G13" s="24">
        <v>17166.580000000002</v>
      </c>
      <c r="H13" s="24">
        <f>G13*1.18</f>
        <v>20256.564399999999</v>
      </c>
      <c r="I13" s="178">
        <v>0</v>
      </c>
      <c r="J13" s="181">
        <v>0</v>
      </c>
      <c r="K13" s="24">
        <v>0</v>
      </c>
      <c r="L13" s="24">
        <f>K13*1.18</f>
        <v>0</v>
      </c>
      <c r="M13" s="12">
        <f t="shared" si="0"/>
        <v>9292</v>
      </c>
      <c r="N13" s="119">
        <f t="shared" si="1"/>
        <v>17166.580000000002</v>
      </c>
      <c r="O13" s="119">
        <f t="shared" si="2"/>
        <v>3089.9799999999996</v>
      </c>
      <c r="P13" s="120">
        <f t="shared" si="3"/>
        <v>20256.560000000001</v>
      </c>
    </row>
    <row r="14" spans="1:16" x14ac:dyDescent="0.25">
      <c r="A14" s="286" t="s">
        <v>100</v>
      </c>
      <c r="B14" s="281" t="s">
        <v>97</v>
      </c>
      <c r="C14" s="204" t="s">
        <v>44</v>
      </c>
      <c r="D14" s="141">
        <f>665616</f>
        <v>665616</v>
      </c>
      <c r="E14" s="176"/>
      <c r="F14" s="143">
        <f t="shared" si="4"/>
        <v>1.8155199995192421</v>
      </c>
      <c r="G14" s="144">
        <f>1208439.16</f>
        <v>1208439.1599999999</v>
      </c>
      <c r="H14" s="144">
        <f t="shared" si="5"/>
        <v>1425958.2087999999</v>
      </c>
      <c r="I14" s="141">
        <f>1064383</f>
        <v>1064383</v>
      </c>
      <c r="J14" s="175">
        <f t="shared" ref="J14:J20" si="7">K14/I14</f>
        <v>1.929349999013513</v>
      </c>
      <c r="K14" s="144">
        <f>2053567.34</f>
        <v>2053567.34</v>
      </c>
      <c r="L14" s="144">
        <f t="shared" si="6"/>
        <v>2423209.4611999998</v>
      </c>
      <c r="M14" s="177">
        <f t="shared" si="0"/>
        <v>1729999</v>
      </c>
      <c r="N14" s="119">
        <f t="shared" si="1"/>
        <v>3262006.5</v>
      </c>
      <c r="O14" s="119">
        <f t="shared" si="2"/>
        <v>587161.16999999993</v>
      </c>
      <c r="P14" s="120">
        <f t="shared" si="3"/>
        <v>3849167.67</v>
      </c>
    </row>
    <row r="15" spans="1:16" ht="21" customHeight="1" thickBot="1" x14ac:dyDescent="0.3">
      <c r="A15" s="292"/>
      <c r="B15" s="281"/>
      <c r="C15" s="191" t="s">
        <v>50</v>
      </c>
      <c r="D15" s="192">
        <v>6084</v>
      </c>
      <c r="E15" s="142"/>
      <c r="F15" s="193">
        <f>G15/D15</f>
        <v>1.8155210387902694</v>
      </c>
      <c r="G15" s="116">
        <v>11045.63</v>
      </c>
      <c r="H15" s="116">
        <f>G15*1.18</f>
        <v>13033.843399999998</v>
      </c>
      <c r="I15" s="192">
        <v>9729</v>
      </c>
      <c r="J15" s="194">
        <f t="shared" si="7"/>
        <v>1.9293493678692568</v>
      </c>
      <c r="K15" s="116">
        <v>18770.64</v>
      </c>
      <c r="L15" s="116">
        <f>K15*1.18</f>
        <v>22149.355199999998</v>
      </c>
      <c r="M15" s="118">
        <f t="shared" si="0"/>
        <v>15813</v>
      </c>
      <c r="N15" s="119">
        <f t="shared" si="1"/>
        <v>29816.269999999997</v>
      </c>
      <c r="O15" s="119">
        <f t="shared" si="2"/>
        <v>5366.93</v>
      </c>
      <c r="P15" s="120">
        <f t="shared" si="3"/>
        <v>35183.199999999997</v>
      </c>
    </row>
    <row r="16" spans="1:16" s="30" customFormat="1" ht="16.5" thickBot="1" x14ac:dyDescent="0.3">
      <c r="A16" s="130" t="s">
        <v>85</v>
      </c>
      <c r="B16" s="131"/>
      <c r="C16" s="131"/>
      <c r="D16" s="132">
        <f>SUM(D10:E15)</f>
        <v>2011311</v>
      </c>
      <c r="E16" s="132" t="e">
        <f>#REF!+E12+E14</f>
        <v>#REF!</v>
      </c>
      <c r="F16" s="196">
        <f>G16/D16</f>
        <v>1.8641873086757843</v>
      </c>
      <c r="G16" s="133">
        <f>SUM(G10:G15)</f>
        <v>3749460.4400000004</v>
      </c>
      <c r="H16" s="133">
        <f>SUM(H10:H15)</f>
        <v>4424363.3191999998</v>
      </c>
      <c r="I16" s="132">
        <f>SUM(I10:I15)</f>
        <v>1449458</v>
      </c>
      <c r="J16" s="196">
        <f t="shared" si="7"/>
        <v>1.9596841164076506</v>
      </c>
      <c r="K16" s="133">
        <f>SUM(K10:K15)</f>
        <v>2840479.8200000003</v>
      </c>
      <c r="L16" s="133">
        <f t="shared" ref="L16" si="8">SUM(L10:L14)</f>
        <v>3329616.8323999997</v>
      </c>
      <c r="M16" s="132">
        <f>SUM(M10:M15)</f>
        <v>3460769</v>
      </c>
      <c r="N16" s="133">
        <f>SUM(N10:N15)</f>
        <v>6589940.2599999998</v>
      </c>
      <c r="O16" s="133">
        <f>SUM(O10:O15)</f>
        <v>1186189.2399999998</v>
      </c>
      <c r="P16" s="134">
        <f>SUM(P10:P15)</f>
        <v>7776129.5000000009</v>
      </c>
    </row>
    <row r="17" spans="1:16" outlineLevel="2" x14ac:dyDescent="0.25">
      <c r="A17" s="289" t="s">
        <v>103</v>
      </c>
      <c r="B17" s="284" t="s">
        <v>111</v>
      </c>
      <c r="C17" s="70" t="str">
        <f t="shared" ref="C17:C22" si="9">C10</f>
        <v>потери</v>
      </c>
      <c r="D17" s="67">
        <v>596919</v>
      </c>
      <c r="E17" s="148"/>
      <c r="F17" s="68">
        <f t="shared" si="4"/>
        <v>2.0073020460062421</v>
      </c>
      <c r="G17" s="23">
        <v>1198196.73</v>
      </c>
      <c r="H17" s="23">
        <f t="shared" si="5"/>
        <v>1413872.1413999998</v>
      </c>
      <c r="I17" s="67">
        <v>65512</v>
      </c>
      <c r="J17" s="68">
        <f t="shared" si="7"/>
        <v>2.1475222859934058</v>
      </c>
      <c r="K17" s="23">
        <v>140688.48000000001</v>
      </c>
      <c r="L17" s="23">
        <f t="shared" si="6"/>
        <v>166012.40640000001</v>
      </c>
      <c r="M17" s="108">
        <f t="shared" ref="M17:M22" si="10">D17+I17</f>
        <v>662431</v>
      </c>
      <c r="N17" s="109">
        <f t="shared" ref="N17:N22" si="11">G17+K17</f>
        <v>1338885.21</v>
      </c>
      <c r="O17" s="109">
        <f t="shared" ref="O17:O22" si="12">P17-N17</f>
        <v>240999.33779999986</v>
      </c>
      <c r="P17" s="101">
        <f t="shared" ref="P17:P22" si="13">L17+H17</f>
        <v>1579884.5477999998</v>
      </c>
    </row>
    <row r="18" spans="1:16" ht="25.5" outlineLevel="2" x14ac:dyDescent="0.25">
      <c r="A18" s="288"/>
      <c r="B18" s="281"/>
      <c r="C18" s="199" t="str">
        <f t="shared" si="9"/>
        <v>бездоговорное потребление</v>
      </c>
      <c r="D18" s="67">
        <v>14581</v>
      </c>
      <c r="E18" s="148"/>
      <c r="F18" s="68">
        <f t="shared" si="4"/>
        <v>2.0084747273849528</v>
      </c>
      <c r="G18" s="23">
        <v>29285.57</v>
      </c>
      <c r="H18" s="23">
        <f t="shared" si="5"/>
        <v>34556.972600000001</v>
      </c>
      <c r="I18" s="67">
        <v>1600</v>
      </c>
      <c r="J18" s="68">
        <f t="shared" si="7"/>
        <v>2.1440687500000002</v>
      </c>
      <c r="K18" s="23">
        <v>3430.51</v>
      </c>
      <c r="L18" s="23">
        <f t="shared" si="6"/>
        <v>4048.0018</v>
      </c>
      <c r="M18" s="108">
        <f t="shared" si="10"/>
        <v>16181</v>
      </c>
      <c r="N18" s="109">
        <f t="shared" si="11"/>
        <v>32716.080000000002</v>
      </c>
      <c r="O18" s="109">
        <f t="shared" si="12"/>
        <v>5888.8943999999974</v>
      </c>
      <c r="P18" s="101">
        <f t="shared" si="13"/>
        <v>38604.974399999999</v>
      </c>
    </row>
    <row r="19" spans="1:16" outlineLevel="2" x14ac:dyDescent="0.25">
      <c r="A19" s="286" t="s">
        <v>1</v>
      </c>
      <c r="B19" s="283" t="s">
        <v>112</v>
      </c>
      <c r="C19" s="70" t="str">
        <f t="shared" si="9"/>
        <v>потери</v>
      </c>
      <c r="D19" s="67">
        <v>526728</v>
      </c>
      <c r="E19" s="71"/>
      <c r="F19" s="68">
        <f t="shared" si="4"/>
        <v>1.8987560562567396</v>
      </c>
      <c r="G19" s="23">
        <v>1000127.98</v>
      </c>
      <c r="H19" s="24">
        <f t="shared" si="5"/>
        <v>1180151.0163999998</v>
      </c>
      <c r="I19" s="67">
        <v>332597</v>
      </c>
      <c r="J19" s="68">
        <f t="shared" si="7"/>
        <v>2.0238691569677418</v>
      </c>
      <c r="K19" s="23">
        <v>673132.81</v>
      </c>
      <c r="L19" s="24">
        <f t="shared" si="6"/>
        <v>794296.71580000001</v>
      </c>
      <c r="M19" s="12">
        <f t="shared" si="10"/>
        <v>859325</v>
      </c>
      <c r="N19" s="13">
        <f t="shared" si="11"/>
        <v>1673260.79</v>
      </c>
      <c r="O19" s="13">
        <f t="shared" si="12"/>
        <v>301186.94219999993</v>
      </c>
      <c r="P19" s="96">
        <f t="shared" si="13"/>
        <v>1974447.7322</v>
      </c>
    </row>
    <row r="20" spans="1:16" ht="25.5" outlineLevel="2" x14ac:dyDescent="0.25">
      <c r="A20" s="288"/>
      <c r="B20" s="283"/>
      <c r="C20" s="197" t="str">
        <f t="shared" si="9"/>
        <v>бездоговорное потребление</v>
      </c>
      <c r="D20" s="178">
        <v>7172</v>
      </c>
      <c r="E20" s="71"/>
      <c r="F20" s="180">
        <f t="shared" si="4"/>
        <v>1.8983059118795316</v>
      </c>
      <c r="G20" s="24">
        <v>13614.65</v>
      </c>
      <c r="H20" s="24">
        <f t="shared" si="5"/>
        <v>16065.286999999998</v>
      </c>
      <c r="I20" s="178">
        <v>4528</v>
      </c>
      <c r="J20" s="180">
        <f t="shared" si="7"/>
        <v>2.0254218197879861</v>
      </c>
      <c r="K20" s="24">
        <v>9171.11</v>
      </c>
      <c r="L20" s="116">
        <f t="shared" si="6"/>
        <v>10821.909799999999</v>
      </c>
      <c r="M20" s="118">
        <f t="shared" si="10"/>
        <v>11700</v>
      </c>
      <c r="N20" s="119">
        <f t="shared" si="11"/>
        <v>22785.760000000002</v>
      </c>
      <c r="O20" s="119">
        <f t="shared" si="12"/>
        <v>4101.4367999999959</v>
      </c>
      <c r="P20" s="120">
        <f t="shared" si="13"/>
        <v>26887.196799999998</v>
      </c>
    </row>
    <row r="21" spans="1:16" outlineLevel="2" x14ac:dyDescent="0.25">
      <c r="A21" s="286" t="s">
        <v>104</v>
      </c>
      <c r="B21" s="281" t="s">
        <v>113</v>
      </c>
      <c r="C21" s="198" t="str">
        <f t="shared" si="9"/>
        <v>потери</v>
      </c>
      <c r="D21" s="178">
        <v>492300</v>
      </c>
      <c r="E21" s="71"/>
      <c r="F21" s="180">
        <f t="shared" si="4"/>
        <v>1.7830500101564086</v>
      </c>
      <c r="G21" s="24">
        <v>877795.52</v>
      </c>
      <c r="H21" s="24">
        <f t="shared" si="5"/>
        <v>1035798.7136</v>
      </c>
      <c r="I21" s="178">
        <v>0</v>
      </c>
      <c r="J21" s="180" t="s">
        <v>4</v>
      </c>
      <c r="K21" s="24">
        <v>0</v>
      </c>
      <c r="L21" s="116">
        <f t="shared" si="6"/>
        <v>0</v>
      </c>
      <c r="M21" s="118">
        <f t="shared" si="10"/>
        <v>492300</v>
      </c>
      <c r="N21" s="119">
        <f t="shared" si="11"/>
        <v>877795.52</v>
      </c>
      <c r="O21" s="119">
        <f t="shared" si="12"/>
        <v>158003.1936</v>
      </c>
      <c r="P21" s="120">
        <f t="shared" si="13"/>
        <v>1035798.7136</v>
      </c>
    </row>
    <row r="22" spans="1:16" ht="18" customHeight="1" outlineLevel="2" thickBot="1" x14ac:dyDescent="0.3">
      <c r="A22" s="287"/>
      <c r="B22" s="282"/>
      <c r="C22" s="140" t="str">
        <f t="shared" si="9"/>
        <v>бездоговорное потребление</v>
      </c>
      <c r="D22" s="141">
        <v>0</v>
      </c>
      <c r="E22" s="208"/>
      <c r="F22" s="143" t="s">
        <v>4</v>
      </c>
      <c r="G22" s="144">
        <v>0</v>
      </c>
      <c r="H22" s="144">
        <f t="shared" si="5"/>
        <v>0</v>
      </c>
      <c r="I22" s="141">
        <v>0</v>
      </c>
      <c r="J22" s="143" t="s">
        <v>4</v>
      </c>
      <c r="K22" s="144">
        <v>0</v>
      </c>
      <c r="L22" s="116">
        <f t="shared" si="6"/>
        <v>0</v>
      </c>
      <c r="M22" s="118">
        <f t="shared" si="10"/>
        <v>0</v>
      </c>
      <c r="N22" s="119">
        <f t="shared" si="11"/>
        <v>0</v>
      </c>
      <c r="O22" s="119">
        <f t="shared" si="12"/>
        <v>0</v>
      </c>
      <c r="P22" s="120">
        <f t="shared" si="13"/>
        <v>0</v>
      </c>
    </row>
    <row r="23" spans="1:16" s="30" customFormat="1" ht="16.5" outlineLevel="2" thickBot="1" x14ac:dyDescent="0.3">
      <c r="A23" s="130" t="s">
        <v>86</v>
      </c>
      <c r="B23" s="131"/>
      <c r="C23" s="131"/>
      <c r="D23" s="132">
        <f>SUM(D17:D22)</f>
        <v>1637700</v>
      </c>
      <c r="E23" s="132">
        <f t="shared" ref="E23:L23" si="14">SUM(E17:E22)</f>
        <v>0</v>
      </c>
      <c r="F23" s="132"/>
      <c r="G23" s="133">
        <f t="shared" si="14"/>
        <v>3119020.45</v>
      </c>
      <c r="H23" s="133">
        <f t="shared" si="14"/>
        <v>3680444.1309999996</v>
      </c>
      <c r="I23" s="132">
        <f t="shared" si="14"/>
        <v>404237</v>
      </c>
      <c r="J23" s="132"/>
      <c r="K23" s="133">
        <f t="shared" si="14"/>
        <v>826422.91</v>
      </c>
      <c r="L23" s="133">
        <f t="shared" si="14"/>
        <v>975179.03380000009</v>
      </c>
      <c r="M23" s="132">
        <f>SUM(M17:M22)</f>
        <v>2041937</v>
      </c>
      <c r="N23" s="133">
        <f>SUM(N17:N22)</f>
        <v>3945443.36</v>
      </c>
      <c r="O23" s="133">
        <f>SUM(O17:O22)</f>
        <v>710179.80479999981</v>
      </c>
      <c r="P23" s="134">
        <f>SUM(P17:P22)</f>
        <v>4655623.1648000004</v>
      </c>
    </row>
    <row r="24" spans="1:16" s="1" customFormat="1" outlineLevel="1" x14ac:dyDescent="0.25">
      <c r="A24" s="289" t="s">
        <v>2</v>
      </c>
      <c r="B24" s="284" t="s">
        <v>114</v>
      </c>
      <c r="C24" s="70" t="str">
        <f t="shared" ref="C24:C29" si="15">C17</f>
        <v>потери</v>
      </c>
      <c r="D24" s="67">
        <v>478795</v>
      </c>
      <c r="E24" s="149"/>
      <c r="F24" s="68">
        <f t="shared" si="4"/>
        <v>1.752246681774037</v>
      </c>
      <c r="G24" s="23">
        <f>879594.31-40627.36</f>
        <v>838966.95000000007</v>
      </c>
      <c r="H24" s="23">
        <f t="shared" ref="H24:H36" si="16">G24*1.18</f>
        <v>989981.00100000005</v>
      </c>
      <c r="I24" s="67">
        <v>0</v>
      </c>
      <c r="J24" s="68" t="s">
        <v>4</v>
      </c>
      <c r="K24" s="23">
        <v>0</v>
      </c>
      <c r="L24" s="23">
        <f t="shared" si="6"/>
        <v>0</v>
      </c>
      <c r="M24" s="7">
        <f t="shared" ref="M24:M29" si="17">D24+I24</f>
        <v>478795</v>
      </c>
      <c r="N24" s="11">
        <f t="shared" ref="N24:N29" si="18">G24+K24</f>
        <v>838966.95000000007</v>
      </c>
      <c r="O24" s="109">
        <f>P24-N24</f>
        <v>151014.05099999998</v>
      </c>
      <c r="P24" s="101">
        <f t="shared" ref="P24:P29" si="19">L24+H24</f>
        <v>989981.00100000005</v>
      </c>
    </row>
    <row r="25" spans="1:16" s="1" customFormat="1" ht="19.5" customHeight="1" outlineLevel="1" x14ac:dyDescent="0.25">
      <c r="A25" s="288"/>
      <c r="B25" s="285"/>
      <c r="C25" s="199" t="str">
        <f t="shared" si="15"/>
        <v>бездоговорное потребление</v>
      </c>
      <c r="D25" s="67">
        <v>8617</v>
      </c>
      <c r="E25" s="149"/>
      <c r="F25" s="68">
        <f t="shared" si="4"/>
        <v>1.837098758268539</v>
      </c>
      <c r="G25" s="23">
        <v>15830.28</v>
      </c>
      <c r="H25" s="23">
        <f t="shared" si="16"/>
        <v>18679.7304</v>
      </c>
      <c r="I25" s="67">
        <v>0</v>
      </c>
      <c r="J25" s="68" t="s">
        <v>4</v>
      </c>
      <c r="K25" s="23">
        <v>0</v>
      </c>
      <c r="L25" s="23">
        <f t="shared" si="6"/>
        <v>0</v>
      </c>
      <c r="M25" s="7">
        <f t="shared" si="17"/>
        <v>8617</v>
      </c>
      <c r="N25" s="11">
        <f t="shared" si="18"/>
        <v>15830.28</v>
      </c>
      <c r="O25" s="109">
        <f>P25-N25</f>
        <v>2849.4503999999997</v>
      </c>
      <c r="P25" s="101">
        <f t="shared" si="19"/>
        <v>18679.7304</v>
      </c>
    </row>
    <row r="26" spans="1:16" outlineLevel="1" x14ac:dyDescent="0.25">
      <c r="A26" s="286" t="s">
        <v>3</v>
      </c>
      <c r="B26" s="283" t="s">
        <v>115</v>
      </c>
      <c r="C26" s="198" t="str">
        <f t="shared" si="15"/>
        <v>потери</v>
      </c>
      <c r="D26" s="67">
        <v>498099</v>
      </c>
      <c r="E26" s="72"/>
      <c r="F26" s="68">
        <f t="shared" si="4"/>
        <v>1.8493380432404001</v>
      </c>
      <c r="G26" s="23">
        <v>921153.43</v>
      </c>
      <c r="H26" s="24">
        <f t="shared" si="16"/>
        <v>1086961.0474</v>
      </c>
      <c r="I26" s="67">
        <v>335059</v>
      </c>
      <c r="J26" s="68">
        <f>K26/I26</f>
        <v>1.7088924637153458</v>
      </c>
      <c r="K26" s="23">
        <v>572579.80000000005</v>
      </c>
      <c r="L26" s="24">
        <f t="shared" si="6"/>
        <v>675644.16399999999</v>
      </c>
      <c r="M26" s="12">
        <f t="shared" si="17"/>
        <v>833158</v>
      </c>
      <c r="N26" s="13">
        <f t="shared" si="18"/>
        <v>1493733.23</v>
      </c>
      <c r="O26" s="13">
        <f t="shared" ref="O26:O36" si="20">P26-N26</f>
        <v>268871.98139999993</v>
      </c>
      <c r="P26" s="96">
        <f t="shared" si="19"/>
        <v>1762605.2113999999</v>
      </c>
    </row>
    <row r="27" spans="1:16" ht="18.75" customHeight="1" outlineLevel="1" x14ac:dyDescent="0.25">
      <c r="A27" s="288"/>
      <c r="B27" s="283"/>
      <c r="C27" s="198" t="str">
        <f t="shared" si="15"/>
        <v>бездоговорное потребление</v>
      </c>
      <c r="D27" s="178">
        <v>18701</v>
      </c>
      <c r="E27" s="147"/>
      <c r="F27" s="68">
        <f t="shared" si="4"/>
        <v>1.8474578899524088</v>
      </c>
      <c r="G27" s="24">
        <v>34549.31</v>
      </c>
      <c r="H27" s="116">
        <f t="shared" si="16"/>
        <v>40768.185799999992</v>
      </c>
      <c r="I27" s="178">
        <v>12579</v>
      </c>
      <c r="J27" s="68">
        <f>K27/I27</f>
        <v>1.7118642181413468</v>
      </c>
      <c r="K27" s="24">
        <v>21533.54</v>
      </c>
      <c r="L27" s="116">
        <f t="shared" si="6"/>
        <v>25409.5772</v>
      </c>
      <c r="M27" s="12">
        <f t="shared" si="17"/>
        <v>31280</v>
      </c>
      <c r="N27" s="13">
        <f t="shared" si="18"/>
        <v>56082.85</v>
      </c>
      <c r="O27" s="119">
        <f>P27-N27</f>
        <v>10094.912999999993</v>
      </c>
      <c r="P27" s="120">
        <f t="shared" si="19"/>
        <v>66177.762999999992</v>
      </c>
    </row>
    <row r="28" spans="1:16" outlineLevel="1" x14ac:dyDescent="0.25">
      <c r="A28" s="286" t="s">
        <v>105</v>
      </c>
      <c r="B28" s="281" t="s">
        <v>116</v>
      </c>
      <c r="C28" s="198" t="str">
        <f t="shared" si="15"/>
        <v>потери</v>
      </c>
      <c r="D28" s="178">
        <v>574560</v>
      </c>
      <c r="E28" s="147"/>
      <c r="F28" s="68">
        <f t="shared" si="4"/>
        <v>2.2139937691450848</v>
      </c>
      <c r="G28" s="24">
        <v>1272072.26</v>
      </c>
      <c r="H28" s="116">
        <f t="shared" si="16"/>
        <v>1501045.2667999999</v>
      </c>
      <c r="I28" s="178">
        <v>0</v>
      </c>
      <c r="J28" s="180" t="s">
        <v>4</v>
      </c>
      <c r="K28" s="24">
        <v>0</v>
      </c>
      <c r="L28" s="116">
        <f t="shared" si="6"/>
        <v>0</v>
      </c>
      <c r="M28" s="12">
        <f t="shared" si="17"/>
        <v>574560</v>
      </c>
      <c r="N28" s="13">
        <f t="shared" si="18"/>
        <v>1272072.26</v>
      </c>
      <c r="O28" s="119">
        <f>P28-N28</f>
        <v>228973.00679999986</v>
      </c>
      <c r="P28" s="120">
        <f t="shared" si="19"/>
        <v>1501045.2667999999</v>
      </c>
    </row>
    <row r="29" spans="1:16" ht="18" customHeight="1" outlineLevel="1" thickBot="1" x14ac:dyDescent="0.3">
      <c r="A29" s="287"/>
      <c r="B29" s="282"/>
      <c r="C29" s="140" t="str">
        <f t="shared" si="15"/>
        <v>бездоговорное потребление</v>
      </c>
      <c r="D29" s="141">
        <v>9261</v>
      </c>
      <c r="E29" s="147"/>
      <c r="F29" s="143">
        <f t="shared" si="4"/>
        <v>2.2118648094158302</v>
      </c>
      <c r="G29" s="144">
        <v>20484.080000000002</v>
      </c>
      <c r="H29" s="116">
        <f t="shared" si="16"/>
        <v>24171.214400000001</v>
      </c>
      <c r="I29" s="141">
        <v>0</v>
      </c>
      <c r="J29" s="68" t="s">
        <v>4</v>
      </c>
      <c r="K29" s="144">
        <v>0</v>
      </c>
      <c r="L29" s="116">
        <f t="shared" si="6"/>
        <v>0</v>
      </c>
      <c r="M29" s="118">
        <f t="shared" si="17"/>
        <v>9261</v>
      </c>
      <c r="N29" s="119">
        <f t="shared" si="18"/>
        <v>20484.080000000002</v>
      </c>
      <c r="O29" s="119">
        <f t="shared" si="20"/>
        <v>3687.134399999999</v>
      </c>
      <c r="P29" s="120">
        <f t="shared" si="19"/>
        <v>24171.214400000001</v>
      </c>
    </row>
    <row r="30" spans="1:16" s="30" customFormat="1" ht="16.5" outlineLevel="1" thickBot="1" x14ac:dyDescent="0.3">
      <c r="A30" s="130" t="s">
        <v>87</v>
      </c>
      <c r="B30" s="131"/>
      <c r="C30" s="131"/>
      <c r="D30" s="132">
        <f>D24+D26+D29+D25+D27+D28</f>
        <v>1588033</v>
      </c>
      <c r="E30" s="151"/>
      <c r="F30" s="152"/>
      <c r="G30" s="133">
        <f>G24+G26+G29+G25+G27+G28</f>
        <v>3103056.3100000005</v>
      </c>
      <c r="H30" s="133">
        <f>H24+H26+H29+H25+H27+H28</f>
        <v>3661606.4458000003</v>
      </c>
      <c r="I30" s="132">
        <f>I24+I26+I29+I25+I27+I28</f>
        <v>347638</v>
      </c>
      <c r="J30" s="152"/>
      <c r="K30" s="133">
        <f>K24+K26+K29+K25+K27+K28</f>
        <v>594113.34000000008</v>
      </c>
      <c r="L30" s="133">
        <f t="shared" ref="L30:P30" si="21">L24+L26+L29+L25+L27+L28</f>
        <v>701053.74120000005</v>
      </c>
      <c r="M30" s="133">
        <f t="shared" si="21"/>
        <v>1935671</v>
      </c>
      <c r="N30" s="133">
        <f t="shared" si="21"/>
        <v>3697169.6500000004</v>
      </c>
      <c r="O30" s="133">
        <f t="shared" si="21"/>
        <v>665490.53699999978</v>
      </c>
      <c r="P30" s="138">
        <f t="shared" si="21"/>
        <v>4362660.1869999999</v>
      </c>
    </row>
    <row r="31" spans="1:16" outlineLevel="1" x14ac:dyDescent="0.25">
      <c r="A31" s="289" t="s">
        <v>106</v>
      </c>
      <c r="B31" s="284" t="s">
        <v>117</v>
      </c>
      <c r="C31" s="70" t="str">
        <f t="shared" ref="C31:C36" si="22">C24</f>
        <v>потери</v>
      </c>
      <c r="D31" s="67">
        <v>599573</v>
      </c>
      <c r="E31" s="150"/>
      <c r="F31" s="68">
        <f t="shared" si="4"/>
        <v>2.2006800006004275</v>
      </c>
      <c r="G31" s="23">
        <v>1319468.31</v>
      </c>
      <c r="H31" s="23">
        <f t="shared" si="16"/>
        <v>1556972.6058</v>
      </c>
      <c r="I31" s="67">
        <v>485468</v>
      </c>
      <c r="J31" s="68">
        <f>K31/I31</f>
        <v>2.060409996127448</v>
      </c>
      <c r="K31" s="23">
        <v>1000263.12</v>
      </c>
      <c r="L31" s="23">
        <f t="shared" ref="L31:L36" si="23">K31*1.18</f>
        <v>1180310.4815999998</v>
      </c>
      <c r="M31" s="108">
        <f t="shared" ref="M31:M36" si="24">D31+I31</f>
        <v>1085041</v>
      </c>
      <c r="N31" s="109">
        <f t="shared" ref="N31:N36" si="25">G31+K31</f>
        <v>2319731.4300000002</v>
      </c>
      <c r="O31" s="109">
        <f t="shared" si="20"/>
        <v>417551.65739999944</v>
      </c>
      <c r="P31" s="101">
        <f t="shared" ref="P31:P36" si="26">L31+H31</f>
        <v>2737283.0873999996</v>
      </c>
    </row>
    <row r="32" spans="1:16" ht="21" customHeight="1" outlineLevel="1" x14ac:dyDescent="0.25">
      <c r="A32" s="288"/>
      <c r="B32" s="285"/>
      <c r="C32" s="199" t="str">
        <f t="shared" si="22"/>
        <v>бездоговорное потребление</v>
      </c>
      <c r="D32" s="67">
        <v>3327</v>
      </c>
      <c r="E32" s="150"/>
      <c r="F32" s="68">
        <f t="shared" si="4"/>
        <v>2.2006792906522392</v>
      </c>
      <c r="G32" s="23">
        <v>7321.66</v>
      </c>
      <c r="H32" s="23">
        <f t="shared" si="16"/>
        <v>8639.5587999999989</v>
      </c>
      <c r="I32" s="67">
        <v>2693</v>
      </c>
      <c r="J32" s="68">
        <f>K32/I32</f>
        <v>2.0604121797252133</v>
      </c>
      <c r="K32" s="23">
        <v>5548.69</v>
      </c>
      <c r="L32" s="23">
        <f t="shared" si="23"/>
        <v>6547.4541999999992</v>
      </c>
      <c r="M32" s="108">
        <f t="shared" si="24"/>
        <v>6020</v>
      </c>
      <c r="N32" s="109">
        <f t="shared" si="25"/>
        <v>12870.349999999999</v>
      </c>
      <c r="O32" s="109">
        <f>P32-N32</f>
        <v>2316.6630000000005</v>
      </c>
      <c r="P32" s="101">
        <f t="shared" si="26"/>
        <v>15187.012999999999</v>
      </c>
    </row>
    <row r="33" spans="1:16" outlineLevel="1" x14ac:dyDescent="0.25">
      <c r="A33" s="286" t="s">
        <v>107</v>
      </c>
      <c r="B33" s="283" t="s">
        <v>118</v>
      </c>
      <c r="C33" s="70" t="str">
        <f t="shared" si="22"/>
        <v>потери</v>
      </c>
      <c r="D33" s="67">
        <v>634279</v>
      </c>
      <c r="E33" s="72"/>
      <c r="F33" s="68">
        <f t="shared" si="4"/>
        <v>2.1528012278508357</v>
      </c>
      <c r="G33" s="23">
        <v>1365476.61</v>
      </c>
      <c r="H33" s="24">
        <f t="shared" si="16"/>
        <v>1611262.3998</v>
      </c>
      <c r="I33" s="67">
        <v>441573</v>
      </c>
      <c r="J33" s="68">
        <f>K33/I33</f>
        <v>2.0125493180063092</v>
      </c>
      <c r="K33" s="23">
        <v>888687.44</v>
      </c>
      <c r="L33" s="24">
        <f t="shared" si="23"/>
        <v>1048651.1791999999</v>
      </c>
      <c r="M33" s="12">
        <f t="shared" si="24"/>
        <v>1075852</v>
      </c>
      <c r="N33" s="13">
        <f t="shared" si="25"/>
        <v>2254164.0499999998</v>
      </c>
      <c r="O33" s="13">
        <f t="shared" si="20"/>
        <v>405749.5290000001</v>
      </c>
      <c r="P33" s="96">
        <f t="shared" si="26"/>
        <v>2659913.5789999999</v>
      </c>
    </row>
    <row r="34" spans="1:16" ht="20.25" customHeight="1" outlineLevel="1" x14ac:dyDescent="0.25">
      <c r="A34" s="288"/>
      <c r="B34" s="283"/>
      <c r="C34" s="198" t="str">
        <f t="shared" si="22"/>
        <v>бездоговорное потребление</v>
      </c>
      <c r="D34" s="178">
        <v>3021</v>
      </c>
      <c r="E34" s="72"/>
      <c r="F34" s="180">
        <f t="shared" si="4"/>
        <v>2.1525422045680238</v>
      </c>
      <c r="G34" s="24">
        <v>6502.83</v>
      </c>
      <c r="H34" s="24">
        <f t="shared" si="16"/>
        <v>7673.3393999999998</v>
      </c>
      <c r="I34" s="178">
        <v>2104</v>
      </c>
      <c r="J34" s="68">
        <f>K34/I34</f>
        <v>2.0084743346007605</v>
      </c>
      <c r="K34" s="24">
        <v>4225.83</v>
      </c>
      <c r="L34" s="116">
        <f t="shared" si="23"/>
        <v>4986.4793999999993</v>
      </c>
      <c r="M34" s="118">
        <f t="shared" si="24"/>
        <v>5125</v>
      </c>
      <c r="N34" s="119">
        <f t="shared" si="25"/>
        <v>10728.66</v>
      </c>
      <c r="O34" s="119">
        <f>P34-N34</f>
        <v>1931.1587999999992</v>
      </c>
      <c r="P34" s="120">
        <f t="shared" si="26"/>
        <v>12659.818799999999</v>
      </c>
    </row>
    <row r="35" spans="1:16" outlineLevel="1" x14ac:dyDescent="0.25">
      <c r="A35" s="286" t="s">
        <v>108</v>
      </c>
      <c r="B35" s="281" t="s">
        <v>119</v>
      </c>
      <c r="C35" s="198" t="str">
        <f t="shared" si="22"/>
        <v>потери</v>
      </c>
      <c r="D35" s="178">
        <v>714900</v>
      </c>
      <c r="E35" s="72"/>
      <c r="F35" s="180">
        <f t="shared" si="4"/>
        <v>2.164879997202406</v>
      </c>
      <c r="G35" s="24">
        <v>1547672.71</v>
      </c>
      <c r="H35" s="24">
        <f t="shared" si="16"/>
        <v>1826253.7977999998</v>
      </c>
      <c r="I35" s="178">
        <v>1021729</v>
      </c>
      <c r="J35" s="68">
        <f>K35/I35</f>
        <v>2.024609999324674</v>
      </c>
      <c r="K35" s="24">
        <v>2068602.75</v>
      </c>
      <c r="L35" s="116">
        <f t="shared" si="23"/>
        <v>2440951.2449999996</v>
      </c>
      <c r="M35" s="118">
        <f t="shared" si="24"/>
        <v>1736629</v>
      </c>
      <c r="N35" s="119">
        <f t="shared" si="25"/>
        <v>3616275.46</v>
      </c>
      <c r="O35" s="119">
        <f>P35-N35</f>
        <v>650929.58279999997</v>
      </c>
      <c r="P35" s="120">
        <f t="shared" si="26"/>
        <v>4267205.0427999999</v>
      </c>
    </row>
    <row r="36" spans="1:16" ht="21.75" customHeight="1" outlineLevel="1" thickBot="1" x14ac:dyDescent="0.3">
      <c r="A36" s="287"/>
      <c r="B36" s="282"/>
      <c r="C36" s="140" t="str">
        <f t="shared" si="22"/>
        <v>бездоговорное потребление</v>
      </c>
      <c r="D36" s="141">
        <v>0</v>
      </c>
      <c r="E36" s="209"/>
      <c r="F36" s="143" t="s">
        <v>4</v>
      </c>
      <c r="G36" s="144">
        <v>0</v>
      </c>
      <c r="H36" s="144">
        <f t="shared" si="16"/>
        <v>0</v>
      </c>
      <c r="I36" s="141">
        <v>0</v>
      </c>
      <c r="J36" s="143" t="s">
        <v>4</v>
      </c>
      <c r="K36" s="144">
        <v>0</v>
      </c>
      <c r="L36" s="116">
        <f t="shared" si="23"/>
        <v>0</v>
      </c>
      <c r="M36" s="118">
        <f t="shared" si="24"/>
        <v>0</v>
      </c>
      <c r="N36" s="119">
        <f t="shared" si="25"/>
        <v>0</v>
      </c>
      <c r="O36" s="119">
        <f t="shared" si="20"/>
        <v>0</v>
      </c>
      <c r="P36" s="120">
        <f t="shared" si="26"/>
        <v>0</v>
      </c>
    </row>
    <row r="37" spans="1:16" s="30" customFormat="1" ht="16.5" outlineLevel="1" thickBot="1" x14ac:dyDescent="0.3">
      <c r="A37" s="130" t="s">
        <v>88</v>
      </c>
      <c r="B37" s="131"/>
      <c r="C37" s="131"/>
      <c r="D37" s="132">
        <f>SUM(D31:D36)</f>
        <v>1955100</v>
      </c>
      <c r="E37" s="151"/>
      <c r="F37" s="152"/>
      <c r="G37" s="133">
        <f>SUM(G31:G36)</f>
        <v>4246442.12</v>
      </c>
      <c r="H37" s="133">
        <f>SUM(H31:H36)</f>
        <v>5010801.7016000003</v>
      </c>
      <c r="I37" s="132">
        <f>SUM(I31:I36)</f>
        <v>1953567</v>
      </c>
      <c r="J37" s="152"/>
      <c r="K37" s="133">
        <f t="shared" ref="K37:P37" si="27">SUM(K31:K36)</f>
        <v>3967327.83</v>
      </c>
      <c r="L37" s="133">
        <f t="shared" si="27"/>
        <v>4681446.839399999</v>
      </c>
      <c r="M37" s="132">
        <f t="shared" si="27"/>
        <v>3908667</v>
      </c>
      <c r="N37" s="133">
        <f t="shared" si="27"/>
        <v>8213769.9500000002</v>
      </c>
      <c r="O37" s="133">
        <f t="shared" si="27"/>
        <v>1478478.5909999995</v>
      </c>
      <c r="P37" s="138">
        <f t="shared" si="27"/>
        <v>9692248.5409999974</v>
      </c>
    </row>
    <row r="38" spans="1:16" s="21" customFormat="1" x14ac:dyDescent="0.25">
      <c r="A38" s="211" t="s">
        <v>43</v>
      </c>
      <c r="B38" s="212"/>
      <c r="C38" s="212"/>
      <c r="D38" s="213">
        <f>D16+D23+D30+D37</f>
        <v>7192144</v>
      </c>
      <c r="E38" s="214">
        <f>SUM(E12:E12)</f>
        <v>0</v>
      </c>
      <c r="F38" s="214"/>
      <c r="G38" s="215">
        <f>G16+G23+G30+G37</f>
        <v>14217979.32</v>
      </c>
      <c r="H38" s="215">
        <f>H16+H23+H30+H37</f>
        <v>16777215.5976</v>
      </c>
      <c r="I38" s="213">
        <f>I16+I23+I30+I37</f>
        <v>4154900</v>
      </c>
      <c r="J38" s="214"/>
      <c r="K38" s="215">
        <f t="shared" ref="K38:P38" si="28">K16+K23+K30+K37</f>
        <v>8228343.9000000004</v>
      </c>
      <c r="L38" s="215">
        <f t="shared" si="28"/>
        <v>9687296.4467999991</v>
      </c>
      <c r="M38" s="213">
        <f t="shared" si="28"/>
        <v>11347044</v>
      </c>
      <c r="N38" s="215">
        <f t="shared" si="28"/>
        <v>22446323.219999999</v>
      </c>
      <c r="O38" s="215">
        <f t="shared" si="28"/>
        <v>4040338.1727999989</v>
      </c>
      <c r="P38" s="216">
        <f t="shared" si="28"/>
        <v>26486661.3928</v>
      </c>
    </row>
    <row r="39" spans="1:16" s="30" customFormat="1" x14ac:dyDescent="0.25">
      <c r="A39" s="207" t="s">
        <v>109</v>
      </c>
      <c r="B39" s="210"/>
      <c r="C39" s="205" t="str">
        <f>C31</f>
        <v>потери</v>
      </c>
      <c r="D39" s="178">
        <f>D10+D12+D14+D17+D19+D21+D24+D26+D28+D31+D33+D35</f>
        <v>7109188</v>
      </c>
      <c r="E39" s="206"/>
      <c r="F39" s="206"/>
      <c r="G39" s="24">
        <f>G10+G12+G14+G17+G19+G21+G24+G26+G28+G31+G33+G35</f>
        <v>14056624.490000002</v>
      </c>
      <c r="H39" s="24">
        <f>H10+H12+H14+H17+H19+H21+H24+H26+H28+H31+H33+H35</f>
        <v>16586816.898199998</v>
      </c>
      <c r="I39" s="178">
        <f>I10+I12+I14+I17+I19+I21+I24+I26+I28+I31+I33+I35</f>
        <v>4120247</v>
      </c>
      <c r="J39" s="206"/>
      <c r="K39" s="24">
        <f>K10+K12+K14+K17+K19+K21+K24+K26+K28+K31+K33+K35</f>
        <v>8162763.4100000001</v>
      </c>
      <c r="L39" s="24">
        <f t="shared" ref="L39:O39" si="29">L10+L12+L14+L17+L19+L21+L24+L26+L28+L31+L33+L35</f>
        <v>9632060.8237999994</v>
      </c>
      <c r="M39" s="24">
        <f t="shared" si="29"/>
        <v>11229435</v>
      </c>
      <c r="N39" s="24">
        <f t="shared" si="29"/>
        <v>22219387.899999999</v>
      </c>
      <c r="O39" s="24">
        <f t="shared" si="29"/>
        <v>3999489.8219999992</v>
      </c>
      <c r="P39" s="96">
        <f t="shared" ref="P39" si="30">P10+P12+P14+P17+P19+P21+P24+P26+P28+P31+P33+P35</f>
        <v>26218877.722000003</v>
      </c>
    </row>
    <row r="40" spans="1:16" s="30" customFormat="1" ht="16.5" thickBot="1" x14ac:dyDescent="0.3">
      <c r="A40" s="217" t="s">
        <v>110</v>
      </c>
      <c r="B40" s="218"/>
      <c r="C40" s="221" t="str">
        <f>C32</f>
        <v>бездоговорное потребление</v>
      </c>
      <c r="D40" s="219">
        <f>D11+D13+D15+D18+D20+D22+D32+D34+D36+D25+D27+D29</f>
        <v>82956</v>
      </c>
      <c r="E40" s="222"/>
      <c r="F40" s="222"/>
      <c r="G40" s="223">
        <f>G11+G13+G15+G18+G20+G22+G32+G34+G36+G25+G27+G29</f>
        <v>161354.83000000002</v>
      </c>
      <c r="H40" s="220">
        <f>H11+H13+H15+H18+H20+H22+H32+H34+H36+H25+H27+H29</f>
        <v>190398.69939999998</v>
      </c>
      <c r="I40" s="219">
        <f>I11+I13+I15+I18+I20+I22+I32+I34+I36+I25+I27+I29</f>
        <v>34653</v>
      </c>
      <c r="J40" s="222"/>
      <c r="K40" s="223">
        <f>K11+K13+K15+K18+K20+K22+K32+K34+K36+K25+K27+K29</f>
        <v>65580.490000000005</v>
      </c>
      <c r="L40" s="223">
        <f t="shared" ref="L40:O40" si="31">L11+L13+L15+L18+L20+L22+L32+L34+L36+L25+L27+L29</f>
        <v>77384.978199999998</v>
      </c>
      <c r="M40" s="223">
        <f t="shared" si="31"/>
        <v>117609</v>
      </c>
      <c r="N40" s="223">
        <f t="shared" si="31"/>
        <v>226935.32</v>
      </c>
      <c r="O40" s="223">
        <f t="shared" si="31"/>
        <v>40848.350799999986</v>
      </c>
      <c r="P40" s="224">
        <f t="shared" ref="P40" si="32">P11+P13+P15+P18+P20+P22+P32+P34+P36+P25+P27+P29</f>
        <v>267783.67080000002</v>
      </c>
    </row>
    <row r="41" spans="1:16" s="29" customFormat="1" x14ac:dyDescent="0.25">
      <c r="A41" s="37"/>
      <c r="B41" s="33"/>
      <c r="C41" s="33"/>
      <c r="D41" s="258"/>
      <c r="E41" s="258"/>
      <c r="F41" s="258"/>
      <c r="G41" s="31"/>
      <c r="H41" s="28"/>
      <c r="I41" s="39"/>
      <c r="J41" s="40"/>
      <c r="K41" s="32"/>
      <c r="L41" s="32"/>
      <c r="M41" s="32"/>
      <c r="N41" s="32"/>
      <c r="O41" s="32"/>
      <c r="P41" s="32"/>
    </row>
    <row r="42" spans="1:16" s="30" customFormat="1" x14ac:dyDescent="0.25">
      <c r="G42" s="195"/>
      <c r="H42" s="226"/>
    </row>
    <row r="43" spans="1:16" s="30" customFormat="1" x14ac:dyDescent="0.25">
      <c r="G43" s="227"/>
    </row>
    <row r="44" spans="1:16" s="30" customFormat="1" x14ac:dyDescent="0.25">
      <c r="A44" s="30" t="s">
        <v>120</v>
      </c>
      <c r="G44" s="227"/>
    </row>
    <row r="45" spans="1:16" s="30" customFormat="1" x14ac:dyDescent="0.25">
      <c r="A45" s="30" t="s">
        <v>121</v>
      </c>
      <c r="F45" s="30" t="s">
        <v>122</v>
      </c>
      <c r="G45" s="38"/>
    </row>
  </sheetData>
  <mergeCells count="42">
    <mergeCell ref="D41:F41"/>
    <mergeCell ref="C5:C7"/>
    <mergeCell ref="A1:P1"/>
    <mergeCell ref="A2:P2"/>
    <mergeCell ref="A3:P3"/>
    <mergeCell ref="A5:A7"/>
    <mergeCell ref="B5:B7"/>
    <mergeCell ref="D5:H5"/>
    <mergeCell ref="I5:L5"/>
    <mergeCell ref="M5:P5"/>
    <mergeCell ref="F6:F7"/>
    <mergeCell ref="G6:G7"/>
    <mergeCell ref="H6:H7"/>
    <mergeCell ref="J6:J7"/>
    <mergeCell ref="K6:K7"/>
    <mergeCell ref="L6:L7"/>
    <mergeCell ref="B21:B22"/>
    <mergeCell ref="B19:B20"/>
    <mergeCell ref="B17:B18"/>
    <mergeCell ref="A9:P9"/>
    <mergeCell ref="A10:A11"/>
    <mergeCell ref="A12:A13"/>
    <mergeCell ref="A14:A15"/>
    <mergeCell ref="B14:B15"/>
    <mergeCell ref="B12:B13"/>
    <mergeCell ref="B10:B11"/>
    <mergeCell ref="P6:P7"/>
    <mergeCell ref="B35:B36"/>
    <mergeCell ref="B33:B34"/>
    <mergeCell ref="B31:B32"/>
    <mergeCell ref="A35:A36"/>
    <mergeCell ref="A33:A34"/>
    <mergeCell ref="A31:A32"/>
    <mergeCell ref="B28:B29"/>
    <mergeCell ref="A28:A29"/>
    <mergeCell ref="B26:B27"/>
    <mergeCell ref="A26:A27"/>
    <mergeCell ref="B24:B25"/>
    <mergeCell ref="A24:A25"/>
    <mergeCell ref="A17:A18"/>
    <mergeCell ref="A19:A20"/>
    <mergeCell ref="A21:A22"/>
  </mergeCells>
  <pageMargins left="0.3" right="0.11811023622047245" top="1.39" bottom="0.15748031496062992" header="1.49" footer="0.31496062992125984"/>
  <pageSetup paperSize="9" scale="53" orientation="landscape" r:id="rId1"/>
  <ignoredErrors>
    <ignoredError sqref="J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90" zoomScaleNormal="90" workbookViewId="0">
      <selection activeCell="L35" sqref="L35:L36"/>
    </sheetView>
  </sheetViews>
  <sheetFormatPr defaultRowHeight="15.75" outlineLevelRow="2" x14ac:dyDescent="0.25"/>
  <cols>
    <col min="1" max="1" width="17.7109375" style="3" customWidth="1"/>
    <col min="2" max="3" width="23.42578125" style="3" customWidth="1"/>
    <col min="4" max="4" width="16.42578125" style="3" customWidth="1"/>
    <col min="5" max="5" width="17.7109375" style="3" hidden="1" customWidth="1"/>
    <col min="6" max="6" width="12" style="3" customWidth="1"/>
    <col min="7" max="7" width="18.140625" style="22" customWidth="1"/>
    <col min="8" max="8" width="18.7109375" style="30" customWidth="1"/>
    <col min="9" max="9" width="18.5703125" style="3" customWidth="1"/>
    <col min="10" max="10" width="12.5703125" style="3" customWidth="1"/>
    <col min="11" max="11" width="16.42578125" style="3" customWidth="1"/>
    <col min="12" max="12" width="16.85546875" style="30" customWidth="1"/>
    <col min="13" max="13" width="18.140625" style="3" customWidth="1"/>
    <col min="14" max="15" width="16.85546875" style="3" customWidth="1"/>
    <col min="16" max="16" width="17.140625" style="30" customWidth="1"/>
    <col min="17" max="242" width="9.140625" style="3"/>
    <col min="243" max="243" width="18.85546875" style="3" customWidth="1"/>
    <col min="244" max="244" width="28" style="3" customWidth="1"/>
    <col min="245" max="245" width="16.42578125" style="3" customWidth="1"/>
    <col min="246" max="246" width="0" style="3" hidden="1" customWidth="1"/>
    <col min="247" max="247" width="18.85546875" style="3" customWidth="1"/>
    <col min="248" max="248" width="18.140625" style="3" customWidth="1"/>
    <col min="249" max="249" width="17.7109375" style="3" customWidth="1"/>
    <col min="250" max="250" width="18" style="3" customWidth="1"/>
    <col min="251" max="251" width="0" style="3" hidden="1" customWidth="1"/>
    <col min="252" max="252" width="17.42578125" style="3" customWidth="1"/>
    <col min="253" max="253" width="14.5703125" style="3" customWidth="1"/>
    <col min="254" max="257" width="16.85546875" style="3" customWidth="1"/>
    <col min="258" max="258" width="17.140625" style="3" customWidth="1"/>
    <col min="259" max="263" width="0" style="3" hidden="1" customWidth="1"/>
    <col min="264" max="264" width="13.140625" style="3" bestFit="1" customWidth="1"/>
    <col min="265" max="265" width="16.140625" style="3" customWidth="1"/>
    <col min="266" max="498" width="9.140625" style="3"/>
    <col min="499" max="499" width="18.85546875" style="3" customWidth="1"/>
    <col min="500" max="500" width="28" style="3" customWidth="1"/>
    <col min="501" max="501" width="16.42578125" style="3" customWidth="1"/>
    <col min="502" max="502" width="0" style="3" hidden="1" customWidth="1"/>
    <col min="503" max="503" width="18.85546875" style="3" customWidth="1"/>
    <col min="504" max="504" width="18.140625" style="3" customWidth="1"/>
    <col min="505" max="505" width="17.7109375" style="3" customWidth="1"/>
    <col min="506" max="506" width="18" style="3" customWidth="1"/>
    <col min="507" max="507" width="0" style="3" hidden="1" customWidth="1"/>
    <col min="508" max="508" width="17.42578125" style="3" customWidth="1"/>
    <col min="509" max="509" width="14.5703125" style="3" customWidth="1"/>
    <col min="510" max="513" width="16.85546875" style="3" customWidth="1"/>
    <col min="514" max="514" width="17.140625" style="3" customWidth="1"/>
    <col min="515" max="519" width="0" style="3" hidden="1" customWidth="1"/>
    <col min="520" max="520" width="13.140625" style="3" bestFit="1" customWidth="1"/>
    <col min="521" max="521" width="16.140625" style="3" customWidth="1"/>
    <col min="522" max="754" width="9.140625" style="3"/>
    <col min="755" max="755" width="18.85546875" style="3" customWidth="1"/>
    <col min="756" max="756" width="28" style="3" customWidth="1"/>
    <col min="757" max="757" width="16.42578125" style="3" customWidth="1"/>
    <col min="758" max="758" width="0" style="3" hidden="1" customWidth="1"/>
    <col min="759" max="759" width="18.85546875" style="3" customWidth="1"/>
    <col min="760" max="760" width="18.140625" style="3" customWidth="1"/>
    <col min="761" max="761" width="17.7109375" style="3" customWidth="1"/>
    <col min="762" max="762" width="18" style="3" customWidth="1"/>
    <col min="763" max="763" width="0" style="3" hidden="1" customWidth="1"/>
    <col min="764" max="764" width="17.42578125" style="3" customWidth="1"/>
    <col min="765" max="765" width="14.5703125" style="3" customWidth="1"/>
    <col min="766" max="769" width="16.85546875" style="3" customWidth="1"/>
    <col min="770" max="770" width="17.140625" style="3" customWidth="1"/>
    <col min="771" max="775" width="0" style="3" hidden="1" customWidth="1"/>
    <col min="776" max="776" width="13.140625" style="3" bestFit="1" customWidth="1"/>
    <col min="777" max="777" width="16.140625" style="3" customWidth="1"/>
    <col min="778" max="1010" width="9.140625" style="3"/>
    <col min="1011" max="1011" width="18.85546875" style="3" customWidth="1"/>
    <col min="1012" max="1012" width="28" style="3" customWidth="1"/>
    <col min="1013" max="1013" width="16.42578125" style="3" customWidth="1"/>
    <col min="1014" max="1014" width="0" style="3" hidden="1" customWidth="1"/>
    <col min="1015" max="1015" width="18.85546875" style="3" customWidth="1"/>
    <col min="1016" max="1016" width="18.140625" style="3" customWidth="1"/>
    <col min="1017" max="1017" width="17.7109375" style="3" customWidth="1"/>
    <col min="1018" max="1018" width="18" style="3" customWidth="1"/>
    <col min="1019" max="1019" width="0" style="3" hidden="1" customWidth="1"/>
    <col min="1020" max="1020" width="17.42578125" style="3" customWidth="1"/>
    <col min="1021" max="1021" width="14.5703125" style="3" customWidth="1"/>
    <col min="1022" max="1025" width="16.85546875" style="3" customWidth="1"/>
    <col min="1026" max="1026" width="17.140625" style="3" customWidth="1"/>
    <col min="1027" max="1031" width="0" style="3" hidden="1" customWidth="1"/>
    <col min="1032" max="1032" width="13.140625" style="3" bestFit="1" customWidth="1"/>
    <col min="1033" max="1033" width="16.140625" style="3" customWidth="1"/>
    <col min="1034" max="1266" width="9.140625" style="3"/>
    <col min="1267" max="1267" width="18.85546875" style="3" customWidth="1"/>
    <col min="1268" max="1268" width="28" style="3" customWidth="1"/>
    <col min="1269" max="1269" width="16.42578125" style="3" customWidth="1"/>
    <col min="1270" max="1270" width="0" style="3" hidden="1" customWidth="1"/>
    <col min="1271" max="1271" width="18.85546875" style="3" customWidth="1"/>
    <col min="1272" max="1272" width="18.140625" style="3" customWidth="1"/>
    <col min="1273" max="1273" width="17.7109375" style="3" customWidth="1"/>
    <col min="1274" max="1274" width="18" style="3" customWidth="1"/>
    <col min="1275" max="1275" width="0" style="3" hidden="1" customWidth="1"/>
    <col min="1276" max="1276" width="17.42578125" style="3" customWidth="1"/>
    <col min="1277" max="1277" width="14.5703125" style="3" customWidth="1"/>
    <col min="1278" max="1281" width="16.85546875" style="3" customWidth="1"/>
    <col min="1282" max="1282" width="17.140625" style="3" customWidth="1"/>
    <col min="1283" max="1287" width="0" style="3" hidden="1" customWidth="1"/>
    <col min="1288" max="1288" width="13.140625" style="3" bestFit="1" customWidth="1"/>
    <col min="1289" max="1289" width="16.140625" style="3" customWidth="1"/>
    <col min="1290" max="1522" width="9.140625" style="3"/>
    <col min="1523" max="1523" width="18.85546875" style="3" customWidth="1"/>
    <col min="1524" max="1524" width="28" style="3" customWidth="1"/>
    <col min="1525" max="1525" width="16.42578125" style="3" customWidth="1"/>
    <col min="1526" max="1526" width="0" style="3" hidden="1" customWidth="1"/>
    <col min="1527" max="1527" width="18.85546875" style="3" customWidth="1"/>
    <col min="1528" max="1528" width="18.140625" style="3" customWidth="1"/>
    <col min="1529" max="1529" width="17.7109375" style="3" customWidth="1"/>
    <col min="1530" max="1530" width="18" style="3" customWidth="1"/>
    <col min="1531" max="1531" width="0" style="3" hidden="1" customWidth="1"/>
    <col min="1532" max="1532" width="17.42578125" style="3" customWidth="1"/>
    <col min="1533" max="1533" width="14.5703125" style="3" customWidth="1"/>
    <col min="1534" max="1537" width="16.85546875" style="3" customWidth="1"/>
    <col min="1538" max="1538" width="17.140625" style="3" customWidth="1"/>
    <col min="1539" max="1543" width="0" style="3" hidden="1" customWidth="1"/>
    <col min="1544" max="1544" width="13.140625" style="3" bestFit="1" customWidth="1"/>
    <col min="1545" max="1545" width="16.140625" style="3" customWidth="1"/>
    <col min="1546" max="1778" width="9.140625" style="3"/>
    <col min="1779" max="1779" width="18.85546875" style="3" customWidth="1"/>
    <col min="1780" max="1780" width="28" style="3" customWidth="1"/>
    <col min="1781" max="1781" width="16.42578125" style="3" customWidth="1"/>
    <col min="1782" max="1782" width="0" style="3" hidden="1" customWidth="1"/>
    <col min="1783" max="1783" width="18.85546875" style="3" customWidth="1"/>
    <col min="1784" max="1784" width="18.140625" style="3" customWidth="1"/>
    <col min="1785" max="1785" width="17.7109375" style="3" customWidth="1"/>
    <col min="1786" max="1786" width="18" style="3" customWidth="1"/>
    <col min="1787" max="1787" width="0" style="3" hidden="1" customWidth="1"/>
    <col min="1788" max="1788" width="17.42578125" style="3" customWidth="1"/>
    <col min="1789" max="1789" width="14.5703125" style="3" customWidth="1"/>
    <col min="1790" max="1793" width="16.85546875" style="3" customWidth="1"/>
    <col min="1794" max="1794" width="17.140625" style="3" customWidth="1"/>
    <col min="1795" max="1799" width="0" style="3" hidden="1" customWidth="1"/>
    <col min="1800" max="1800" width="13.140625" style="3" bestFit="1" customWidth="1"/>
    <col min="1801" max="1801" width="16.140625" style="3" customWidth="1"/>
    <col min="1802" max="2034" width="9.140625" style="3"/>
    <col min="2035" max="2035" width="18.85546875" style="3" customWidth="1"/>
    <col min="2036" max="2036" width="28" style="3" customWidth="1"/>
    <col min="2037" max="2037" width="16.42578125" style="3" customWidth="1"/>
    <col min="2038" max="2038" width="0" style="3" hidden="1" customWidth="1"/>
    <col min="2039" max="2039" width="18.85546875" style="3" customWidth="1"/>
    <col min="2040" max="2040" width="18.140625" style="3" customWidth="1"/>
    <col min="2041" max="2041" width="17.7109375" style="3" customWidth="1"/>
    <col min="2042" max="2042" width="18" style="3" customWidth="1"/>
    <col min="2043" max="2043" width="0" style="3" hidden="1" customWidth="1"/>
    <col min="2044" max="2044" width="17.42578125" style="3" customWidth="1"/>
    <col min="2045" max="2045" width="14.5703125" style="3" customWidth="1"/>
    <col min="2046" max="2049" width="16.85546875" style="3" customWidth="1"/>
    <col min="2050" max="2050" width="17.140625" style="3" customWidth="1"/>
    <col min="2051" max="2055" width="0" style="3" hidden="1" customWidth="1"/>
    <col min="2056" max="2056" width="13.140625" style="3" bestFit="1" customWidth="1"/>
    <col min="2057" max="2057" width="16.140625" style="3" customWidth="1"/>
    <col min="2058" max="2290" width="9.140625" style="3"/>
    <col min="2291" max="2291" width="18.85546875" style="3" customWidth="1"/>
    <col min="2292" max="2292" width="28" style="3" customWidth="1"/>
    <col min="2293" max="2293" width="16.42578125" style="3" customWidth="1"/>
    <col min="2294" max="2294" width="0" style="3" hidden="1" customWidth="1"/>
    <col min="2295" max="2295" width="18.85546875" style="3" customWidth="1"/>
    <col min="2296" max="2296" width="18.140625" style="3" customWidth="1"/>
    <col min="2297" max="2297" width="17.7109375" style="3" customWidth="1"/>
    <col min="2298" max="2298" width="18" style="3" customWidth="1"/>
    <col min="2299" max="2299" width="0" style="3" hidden="1" customWidth="1"/>
    <col min="2300" max="2300" width="17.42578125" style="3" customWidth="1"/>
    <col min="2301" max="2301" width="14.5703125" style="3" customWidth="1"/>
    <col min="2302" max="2305" width="16.85546875" style="3" customWidth="1"/>
    <col min="2306" max="2306" width="17.140625" style="3" customWidth="1"/>
    <col min="2307" max="2311" width="0" style="3" hidden="1" customWidth="1"/>
    <col min="2312" max="2312" width="13.140625" style="3" bestFit="1" customWidth="1"/>
    <col min="2313" max="2313" width="16.140625" style="3" customWidth="1"/>
    <col min="2314" max="2546" width="9.140625" style="3"/>
    <col min="2547" max="2547" width="18.85546875" style="3" customWidth="1"/>
    <col min="2548" max="2548" width="28" style="3" customWidth="1"/>
    <col min="2549" max="2549" width="16.42578125" style="3" customWidth="1"/>
    <col min="2550" max="2550" width="0" style="3" hidden="1" customWidth="1"/>
    <col min="2551" max="2551" width="18.85546875" style="3" customWidth="1"/>
    <col min="2552" max="2552" width="18.140625" style="3" customWidth="1"/>
    <col min="2553" max="2553" width="17.7109375" style="3" customWidth="1"/>
    <col min="2554" max="2554" width="18" style="3" customWidth="1"/>
    <col min="2555" max="2555" width="0" style="3" hidden="1" customWidth="1"/>
    <col min="2556" max="2556" width="17.42578125" style="3" customWidth="1"/>
    <col min="2557" max="2557" width="14.5703125" style="3" customWidth="1"/>
    <col min="2558" max="2561" width="16.85546875" style="3" customWidth="1"/>
    <col min="2562" max="2562" width="17.140625" style="3" customWidth="1"/>
    <col min="2563" max="2567" width="0" style="3" hidden="1" customWidth="1"/>
    <col min="2568" max="2568" width="13.140625" style="3" bestFit="1" customWidth="1"/>
    <col min="2569" max="2569" width="16.140625" style="3" customWidth="1"/>
    <col min="2570" max="2802" width="9.140625" style="3"/>
    <col min="2803" max="2803" width="18.85546875" style="3" customWidth="1"/>
    <col min="2804" max="2804" width="28" style="3" customWidth="1"/>
    <col min="2805" max="2805" width="16.42578125" style="3" customWidth="1"/>
    <col min="2806" max="2806" width="0" style="3" hidden="1" customWidth="1"/>
    <col min="2807" max="2807" width="18.85546875" style="3" customWidth="1"/>
    <col min="2808" max="2808" width="18.140625" style="3" customWidth="1"/>
    <col min="2809" max="2809" width="17.7109375" style="3" customWidth="1"/>
    <col min="2810" max="2810" width="18" style="3" customWidth="1"/>
    <col min="2811" max="2811" width="0" style="3" hidden="1" customWidth="1"/>
    <col min="2812" max="2812" width="17.42578125" style="3" customWidth="1"/>
    <col min="2813" max="2813" width="14.5703125" style="3" customWidth="1"/>
    <col min="2814" max="2817" width="16.85546875" style="3" customWidth="1"/>
    <col min="2818" max="2818" width="17.140625" style="3" customWidth="1"/>
    <col min="2819" max="2823" width="0" style="3" hidden="1" customWidth="1"/>
    <col min="2824" max="2824" width="13.140625" style="3" bestFit="1" customWidth="1"/>
    <col min="2825" max="2825" width="16.140625" style="3" customWidth="1"/>
    <col min="2826" max="3058" width="9.140625" style="3"/>
    <col min="3059" max="3059" width="18.85546875" style="3" customWidth="1"/>
    <col min="3060" max="3060" width="28" style="3" customWidth="1"/>
    <col min="3061" max="3061" width="16.42578125" style="3" customWidth="1"/>
    <col min="3062" max="3062" width="0" style="3" hidden="1" customWidth="1"/>
    <col min="3063" max="3063" width="18.85546875" style="3" customWidth="1"/>
    <col min="3064" max="3064" width="18.140625" style="3" customWidth="1"/>
    <col min="3065" max="3065" width="17.7109375" style="3" customWidth="1"/>
    <col min="3066" max="3066" width="18" style="3" customWidth="1"/>
    <col min="3067" max="3067" width="0" style="3" hidden="1" customWidth="1"/>
    <col min="3068" max="3068" width="17.42578125" style="3" customWidth="1"/>
    <col min="3069" max="3069" width="14.5703125" style="3" customWidth="1"/>
    <col min="3070" max="3073" width="16.85546875" style="3" customWidth="1"/>
    <col min="3074" max="3074" width="17.140625" style="3" customWidth="1"/>
    <col min="3075" max="3079" width="0" style="3" hidden="1" customWidth="1"/>
    <col min="3080" max="3080" width="13.140625" style="3" bestFit="1" customWidth="1"/>
    <col min="3081" max="3081" width="16.140625" style="3" customWidth="1"/>
    <col min="3082" max="3314" width="9.140625" style="3"/>
    <col min="3315" max="3315" width="18.85546875" style="3" customWidth="1"/>
    <col min="3316" max="3316" width="28" style="3" customWidth="1"/>
    <col min="3317" max="3317" width="16.42578125" style="3" customWidth="1"/>
    <col min="3318" max="3318" width="0" style="3" hidden="1" customWidth="1"/>
    <col min="3319" max="3319" width="18.85546875" style="3" customWidth="1"/>
    <col min="3320" max="3320" width="18.140625" style="3" customWidth="1"/>
    <col min="3321" max="3321" width="17.7109375" style="3" customWidth="1"/>
    <col min="3322" max="3322" width="18" style="3" customWidth="1"/>
    <col min="3323" max="3323" width="0" style="3" hidden="1" customWidth="1"/>
    <col min="3324" max="3324" width="17.42578125" style="3" customWidth="1"/>
    <col min="3325" max="3325" width="14.5703125" style="3" customWidth="1"/>
    <col min="3326" max="3329" width="16.85546875" style="3" customWidth="1"/>
    <col min="3330" max="3330" width="17.140625" style="3" customWidth="1"/>
    <col min="3331" max="3335" width="0" style="3" hidden="1" customWidth="1"/>
    <col min="3336" max="3336" width="13.140625" style="3" bestFit="1" customWidth="1"/>
    <col min="3337" max="3337" width="16.140625" style="3" customWidth="1"/>
    <col min="3338" max="3570" width="9.140625" style="3"/>
    <col min="3571" max="3571" width="18.85546875" style="3" customWidth="1"/>
    <col min="3572" max="3572" width="28" style="3" customWidth="1"/>
    <col min="3573" max="3573" width="16.42578125" style="3" customWidth="1"/>
    <col min="3574" max="3574" width="0" style="3" hidden="1" customWidth="1"/>
    <col min="3575" max="3575" width="18.85546875" style="3" customWidth="1"/>
    <col min="3576" max="3576" width="18.140625" style="3" customWidth="1"/>
    <col min="3577" max="3577" width="17.7109375" style="3" customWidth="1"/>
    <col min="3578" max="3578" width="18" style="3" customWidth="1"/>
    <col min="3579" max="3579" width="0" style="3" hidden="1" customWidth="1"/>
    <col min="3580" max="3580" width="17.42578125" style="3" customWidth="1"/>
    <col min="3581" max="3581" width="14.5703125" style="3" customWidth="1"/>
    <col min="3582" max="3585" width="16.85546875" style="3" customWidth="1"/>
    <col min="3586" max="3586" width="17.140625" style="3" customWidth="1"/>
    <col min="3587" max="3591" width="0" style="3" hidden="1" customWidth="1"/>
    <col min="3592" max="3592" width="13.140625" style="3" bestFit="1" customWidth="1"/>
    <col min="3593" max="3593" width="16.140625" style="3" customWidth="1"/>
    <col min="3594" max="3826" width="9.140625" style="3"/>
    <col min="3827" max="3827" width="18.85546875" style="3" customWidth="1"/>
    <col min="3828" max="3828" width="28" style="3" customWidth="1"/>
    <col min="3829" max="3829" width="16.42578125" style="3" customWidth="1"/>
    <col min="3830" max="3830" width="0" style="3" hidden="1" customWidth="1"/>
    <col min="3831" max="3831" width="18.85546875" style="3" customWidth="1"/>
    <col min="3832" max="3832" width="18.140625" style="3" customWidth="1"/>
    <col min="3833" max="3833" width="17.7109375" style="3" customWidth="1"/>
    <col min="3834" max="3834" width="18" style="3" customWidth="1"/>
    <col min="3835" max="3835" width="0" style="3" hidden="1" customWidth="1"/>
    <col min="3836" max="3836" width="17.42578125" style="3" customWidth="1"/>
    <col min="3837" max="3837" width="14.5703125" style="3" customWidth="1"/>
    <col min="3838" max="3841" width="16.85546875" style="3" customWidth="1"/>
    <col min="3842" max="3842" width="17.140625" style="3" customWidth="1"/>
    <col min="3843" max="3847" width="0" style="3" hidden="1" customWidth="1"/>
    <col min="3848" max="3848" width="13.140625" style="3" bestFit="1" customWidth="1"/>
    <col min="3849" max="3849" width="16.140625" style="3" customWidth="1"/>
    <col min="3850" max="4082" width="9.140625" style="3"/>
    <col min="4083" max="4083" width="18.85546875" style="3" customWidth="1"/>
    <col min="4084" max="4084" width="28" style="3" customWidth="1"/>
    <col min="4085" max="4085" width="16.42578125" style="3" customWidth="1"/>
    <col min="4086" max="4086" width="0" style="3" hidden="1" customWidth="1"/>
    <col min="4087" max="4087" width="18.85546875" style="3" customWidth="1"/>
    <col min="4088" max="4088" width="18.140625" style="3" customWidth="1"/>
    <col min="4089" max="4089" width="17.7109375" style="3" customWidth="1"/>
    <col min="4090" max="4090" width="18" style="3" customWidth="1"/>
    <col min="4091" max="4091" width="0" style="3" hidden="1" customWidth="1"/>
    <col min="4092" max="4092" width="17.42578125" style="3" customWidth="1"/>
    <col min="4093" max="4093" width="14.5703125" style="3" customWidth="1"/>
    <col min="4094" max="4097" width="16.85546875" style="3" customWidth="1"/>
    <col min="4098" max="4098" width="17.140625" style="3" customWidth="1"/>
    <col min="4099" max="4103" width="0" style="3" hidden="1" customWidth="1"/>
    <col min="4104" max="4104" width="13.140625" style="3" bestFit="1" customWidth="1"/>
    <col min="4105" max="4105" width="16.140625" style="3" customWidth="1"/>
    <col min="4106" max="4338" width="9.140625" style="3"/>
    <col min="4339" max="4339" width="18.85546875" style="3" customWidth="1"/>
    <col min="4340" max="4340" width="28" style="3" customWidth="1"/>
    <col min="4341" max="4341" width="16.42578125" style="3" customWidth="1"/>
    <col min="4342" max="4342" width="0" style="3" hidden="1" customWidth="1"/>
    <col min="4343" max="4343" width="18.85546875" style="3" customWidth="1"/>
    <col min="4344" max="4344" width="18.140625" style="3" customWidth="1"/>
    <col min="4345" max="4345" width="17.7109375" style="3" customWidth="1"/>
    <col min="4346" max="4346" width="18" style="3" customWidth="1"/>
    <col min="4347" max="4347" width="0" style="3" hidden="1" customWidth="1"/>
    <col min="4348" max="4348" width="17.42578125" style="3" customWidth="1"/>
    <col min="4349" max="4349" width="14.5703125" style="3" customWidth="1"/>
    <col min="4350" max="4353" width="16.85546875" style="3" customWidth="1"/>
    <col min="4354" max="4354" width="17.140625" style="3" customWidth="1"/>
    <col min="4355" max="4359" width="0" style="3" hidden="1" customWidth="1"/>
    <col min="4360" max="4360" width="13.140625" style="3" bestFit="1" customWidth="1"/>
    <col min="4361" max="4361" width="16.140625" style="3" customWidth="1"/>
    <col min="4362" max="4594" width="9.140625" style="3"/>
    <col min="4595" max="4595" width="18.85546875" style="3" customWidth="1"/>
    <col min="4596" max="4596" width="28" style="3" customWidth="1"/>
    <col min="4597" max="4597" width="16.42578125" style="3" customWidth="1"/>
    <col min="4598" max="4598" width="0" style="3" hidden="1" customWidth="1"/>
    <col min="4599" max="4599" width="18.85546875" style="3" customWidth="1"/>
    <col min="4600" max="4600" width="18.140625" style="3" customWidth="1"/>
    <col min="4601" max="4601" width="17.7109375" style="3" customWidth="1"/>
    <col min="4602" max="4602" width="18" style="3" customWidth="1"/>
    <col min="4603" max="4603" width="0" style="3" hidden="1" customWidth="1"/>
    <col min="4604" max="4604" width="17.42578125" style="3" customWidth="1"/>
    <col min="4605" max="4605" width="14.5703125" style="3" customWidth="1"/>
    <col min="4606" max="4609" width="16.85546875" style="3" customWidth="1"/>
    <col min="4610" max="4610" width="17.140625" style="3" customWidth="1"/>
    <col min="4611" max="4615" width="0" style="3" hidden="1" customWidth="1"/>
    <col min="4616" max="4616" width="13.140625" style="3" bestFit="1" customWidth="1"/>
    <col min="4617" max="4617" width="16.140625" style="3" customWidth="1"/>
    <col min="4618" max="4850" width="9.140625" style="3"/>
    <col min="4851" max="4851" width="18.85546875" style="3" customWidth="1"/>
    <col min="4852" max="4852" width="28" style="3" customWidth="1"/>
    <col min="4853" max="4853" width="16.42578125" style="3" customWidth="1"/>
    <col min="4854" max="4854" width="0" style="3" hidden="1" customWidth="1"/>
    <col min="4855" max="4855" width="18.85546875" style="3" customWidth="1"/>
    <col min="4856" max="4856" width="18.140625" style="3" customWidth="1"/>
    <col min="4857" max="4857" width="17.7109375" style="3" customWidth="1"/>
    <col min="4858" max="4858" width="18" style="3" customWidth="1"/>
    <col min="4859" max="4859" width="0" style="3" hidden="1" customWidth="1"/>
    <col min="4860" max="4860" width="17.42578125" style="3" customWidth="1"/>
    <col min="4861" max="4861" width="14.5703125" style="3" customWidth="1"/>
    <col min="4862" max="4865" width="16.85546875" style="3" customWidth="1"/>
    <col min="4866" max="4866" width="17.140625" style="3" customWidth="1"/>
    <col min="4867" max="4871" width="0" style="3" hidden="1" customWidth="1"/>
    <col min="4872" max="4872" width="13.140625" style="3" bestFit="1" customWidth="1"/>
    <col min="4873" max="4873" width="16.140625" style="3" customWidth="1"/>
    <col min="4874" max="5106" width="9.140625" style="3"/>
    <col min="5107" max="5107" width="18.85546875" style="3" customWidth="1"/>
    <col min="5108" max="5108" width="28" style="3" customWidth="1"/>
    <col min="5109" max="5109" width="16.42578125" style="3" customWidth="1"/>
    <col min="5110" max="5110" width="0" style="3" hidden="1" customWidth="1"/>
    <col min="5111" max="5111" width="18.85546875" style="3" customWidth="1"/>
    <col min="5112" max="5112" width="18.140625" style="3" customWidth="1"/>
    <col min="5113" max="5113" width="17.7109375" style="3" customWidth="1"/>
    <col min="5114" max="5114" width="18" style="3" customWidth="1"/>
    <col min="5115" max="5115" width="0" style="3" hidden="1" customWidth="1"/>
    <col min="5116" max="5116" width="17.42578125" style="3" customWidth="1"/>
    <col min="5117" max="5117" width="14.5703125" style="3" customWidth="1"/>
    <col min="5118" max="5121" width="16.85546875" style="3" customWidth="1"/>
    <col min="5122" max="5122" width="17.140625" style="3" customWidth="1"/>
    <col min="5123" max="5127" width="0" style="3" hidden="1" customWidth="1"/>
    <col min="5128" max="5128" width="13.140625" style="3" bestFit="1" customWidth="1"/>
    <col min="5129" max="5129" width="16.140625" style="3" customWidth="1"/>
    <col min="5130" max="5362" width="9.140625" style="3"/>
    <col min="5363" max="5363" width="18.85546875" style="3" customWidth="1"/>
    <col min="5364" max="5364" width="28" style="3" customWidth="1"/>
    <col min="5365" max="5365" width="16.42578125" style="3" customWidth="1"/>
    <col min="5366" max="5366" width="0" style="3" hidden="1" customWidth="1"/>
    <col min="5367" max="5367" width="18.85546875" style="3" customWidth="1"/>
    <col min="5368" max="5368" width="18.140625" style="3" customWidth="1"/>
    <col min="5369" max="5369" width="17.7109375" style="3" customWidth="1"/>
    <col min="5370" max="5370" width="18" style="3" customWidth="1"/>
    <col min="5371" max="5371" width="0" style="3" hidden="1" customWidth="1"/>
    <col min="5372" max="5372" width="17.42578125" style="3" customWidth="1"/>
    <col min="5373" max="5373" width="14.5703125" style="3" customWidth="1"/>
    <col min="5374" max="5377" width="16.85546875" style="3" customWidth="1"/>
    <col min="5378" max="5378" width="17.140625" style="3" customWidth="1"/>
    <col min="5379" max="5383" width="0" style="3" hidden="1" customWidth="1"/>
    <col min="5384" max="5384" width="13.140625" style="3" bestFit="1" customWidth="1"/>
    <col min="5385" max="5385" width="16.140625" style="3" customWidth="1"/>
    <col min="5386" max="5618" width="9.140625" style="3"/>
    <col min="5619" max="5619" width="18.85546875" style="3" customWidth="1"/>
    <col min="5620" max="5620" width="28" style="3" customWidth="1"/>
    <col min="5621" max="5621" width="16.42578125" style="3" customWidth="1"/>
    <col min="5622" max="5622" width="0" style="3" hidden="1" customWidth="1"/>
    <col min="5623" max="5623" width="18.85546875" style="3" customWidth="1"/>
    <col min="5624" max="5624" width="18.140625" style="3" customWidth="1"/>
    <col min="5625" max="5625" width="17.7109375" style="3" customWidth="1"/>
    <col min="5626" max="5626" width="18" style="3" customWidth="1"/>
    <col min="5627" max="5627" width="0" style="3" hidden="1" customWidth="1"/>
    <col min="5628" max="5628" width="17.42578125" style="3" customWidth="1"/>
    <col min="5629" max="5629" width="14.5703125" style="3" customWidth="1"/>
    <col min="5630" max="5633" width="16.85546875" style="3" customWidth="1"/>
    <col min="5634" max="5634" width="17.140625" style="3" customWidth="1"/>
    <col min="5635" max="5639" width="0" style="3" hidden="1" customWidth="1"/>
    <col min="5640" max="5640" width="13.140625" style="3" bestFit="1" customWidth="1"/>
    <col min="5641" max="5641" width="16.140625" style="3" customWidth="1"/>
    <col min="5642" max="5874" width="9.140625" style="3"/>
    <col min="5875" max="5875" width="18.85546875" style="3" customWidth="1"/>
    <col min="5876" max="5876" width="28" style="3" customWidth="1"/>
    <col min="5877" max="5877" width="16.42578125" style="3" customWidth="1"/>
    <col min="5878" max="5878" width="0" style="3" hidden="1" customWidth="1"/>
    <col min="5879" max="5879" width="18.85546875" style="3" customWidth="1"/>
    <col min="5880" max="5880" width="18.140625" style="3" customWidth="1"/>
    <col min="5881" max="5881" width="17.7109375" style="3" customWidth="1"/>
    <col min="5882" max="5882" width="18" style="3" customWidth="1"/>
    <col min="5883" max="5883" width="0" style="3" hidden="1" customWidth="1"/>
    <col min="5884" max="5884" width="17.42578125" style="3" customWidth="1"/>
    <col min="5885" max="5885" width="14.5703125" style="3" customWidth="1"/>
    <col min="5886" max="5889" width="16.85546875" style="3" customWidth="1"/>
    <col min="5890" max="5890" width="17.140625" style="3" customWidth="1"/>
    <col min="5891" max="5895" width="0" style="3" hidden="1" customWidth="1"/>
    <col min="5896" max="5896" width="13.140625" style="3" bestFit="1" customWidth="1"/>
    <col min="5897" max="5897" width="16.140625" style="3" customWidth="1"/>
    <col min="5898" max="6130" width="9.140625" style="3"/>
    <col min="6131" max="6131" width="18.85546875" style="3" customWidth="1"/>
    <col min="6132" max="6132" width="28" style="3" customWidth="1"/>
    <col min="6133" max="6133" width="16.42578125" style="3" customWidth="1"/>
    <col min="6134" max="6134" width="0" style="3" hidden="1" customWidth="1"/>
    <col min="6135" max="6135" width="18.85546875" style="3" customWidth="1"/>
    <col min="6136" max="6136" width="18.140625" style="3" customWidth="1"/>
    <col min="6137" max="6137" width="17.7109375" style="3" customWidth="1"/>
    <col min="6138" max="6138" width="18" style="3" customWidth="1"/>
    <col min="6139" max="6139" width="0" style="3" hidden="1" customWidth="1"/>
    <col min="6140" max="6140" width="17.42578125" style="3" customWidth="1"/>
    <col min="6141" max="6141" width="14.5703125" style="3" customWidth="1"/>
    <col min="6142" max="6145" width="16.85546875" style="3" customWidth="1"/>
    <col min="6146" max="6146" width="17.140625" style="3" customWidth="1"/>
    <col min="6147" max="6151" width="0" style="3" hidden="1" customWidth="1"/>
    <col min="6152" max="6152" width="13.140625" style="3" bestFit="1" customWidth="1"/>
    <col min="6153" max="6153" width="16.140625" style="3" customWidth="1"/>
    <col min="6154" max="6386" width="9.140625" style="3"/>
    <col min="6387" max="6387" width="18.85546875" style="3" customWidth="1"/>
    <col min="6388" max="6388" width="28" style="3" customWidth="1"/>
    <col min="6389" max="6389" width="16.42578125" style="3" customWidth="1"/>
    <col min="6390" max="6390" width="0" style="3" hidden="1" customWidth="1"/>
    <col min="6391" max="6391" width="18.85546875" style="3" customWidth="1"/>
    <col min="6392" max="6392" width="18.140625" style="3" customWidth="1"/>
    <col min="6393" max="6393" width="17.7109375" style="3" customWidth="1"/>
    <col min="6394" max="6394" width="18" style="3" customWidth="1"/>
    <col min="6395" max="6395" width="0" style="3" hidden="1" customWidth="1"/>
    <col min="6396" max="6396" width="17.42578125" style="3" customWidth="1"/>
    <col min="6397" max="6397" width="14.5703125" style="3" customWidth="1"/>
    <col min="6398" max="6401" width="16.85546875" style="3" customWidth="1"/>
    <col min="6402" max="6402" width="17.140625" style="3" customWidth="1"/>
    <col min="6403" max="6407" width="0" style="3" hidden="1" customWidth="1"/>
    <col min="6408" max="6408" width="13.140625" style="3" bestFit="1" customWidth="1"/>
    <col min="6409" max="6409" width="16.140625" style="3" customWidth="1"/>
    <col min="6410" max="6642" width="9.140625" style="3"/>
    <col min="6643" max="6643" width="18.85546875" style="3" customWidth="1"/>
    <col min="6644" max="6644" width="28" style="3" customWidth="1"/>
    <col min="6645" max="6645" width="16.42578125" style="3" customWidth="1"/>
    <col min="6646" max="6646" width="0" style="3" hidden="1" customWidth="1"/>
    <col min="6647" max="6647" width="18.85546875" style="3" customWidth="1"/>
    <col min="6648" max="6648" width="18.140625" style="3" customWidth="1"/>
    <col min="6649" max="6649" width="17.7109375" style="3" customWidth="1"/>
    <col min="6650" max="6650" width="18" style="3" customWidth="1"/>
    <col min="6651" max="6651" width="0" style="3" hidden="1" customWidth="1"/>
    <col min="6652" max="6652" width="17.42578125" style="3" customWidth="1"/>
    <col min="6653" max="6653" width="14.5703125" style="3" customWidth="1"/>
    <col min="6654" max="6657" width="16.85546875" style="3" customWidth="1"/>
    <col min="6658" max="6658" width="17.140625" style="3" customWidth="1"/>
    <col min="6659" max="6663" width="0" style="3" hidden="1" customWidth="1"/>
    <col min="6664" max="6664" width="13.140625" style="3" bestFit="1" customWidth="1"/>
    <col min="6665" max="6665" width="16.140625" style="3" customWidth="1"/>
    <col min="6666" max="6898" width="9.140625" style="3"/>
    <col min="6899" max="6899" width="18.85546875" style="3" customWidth="1"/>
    <col min="6900" max="6900" width="28" style="3" customWidth="1"/>
    <col min="6901" max="6901" width="16.42578125" style="3" customWidth="1"/>
    <col min="6902" max="6902" width="0" style="3" hidden="1" customWidth="1"/>
    <col min="6903" max="6903" width="18.85546875" style="3" customWidth="1"/>
    <col min="6904" max="6904" width="18.140625" style="3" customWidth="1"/>
    <col min="6905" max="6905" width="17.7109375" style="3" customWidth="1"/>
    <col min="6906" max="6906" width="18" style="3" customWidth="1"/>
    <col min="6907" max="6907" width="0" style="3" hidden="1" customWidth="1"/>
    <col min="6908" max="6908" width="17.42578125" style="3" customWidth="1"/>
    <col min="6909" max="6909" width="14.5703125" style="3" customWidth="1"/>
    <col min="6910" max="6913" width="16.85546875" style="3" customWidth="1"/>
    <col min="6914" max="6914" width="17.140625" style="3" customWidth="1"/>
    <col min="6915" max="6919" width="0" style="3" hidden="1" customWidth="1"/>
    <col min="6920" max="6920" width="13.140625" style="3" bestFit="1" customWidth="1"/>
    <col min="6921" max="6921" width="16.140625" style="3" customWidth="1"/>
    <col min="6922" max="7154" width="9.140625" style="3"/>
    <col min="7155" max="7155" width="18.85546875" style="3" customWidth="1"/>
    <col min="7156" max="7156" width="28" style="3" customWidth="1"/>
    <col min="7157" max="7157" width="16.42578125" style="3" customWidth="1"/>
    <col min="7158" max="7158" width="0" style="3" hidden="1" customWidth="1"/>
    <col min="7159" max="7159" width="18.85546875" style="3" customWidth="1"/>
    <col min="7160" max="7160" width="18.140625" style="3" customWidth="1"/>
    <col min="7161" max="7161" width="17.7109375" style="3" customWidth="1"/>
    <col min="7162" max="7162" width="18" style="3" customWidth="1"/>
    <col min="7163" max="7163" width="0" style="3" hidden="1" customWidth="1"/>
    <col min="7164" max="7164" width="17.42578125" style="3" customWidth="1"/>
    <col min="7165" max="7165" width="14.5703125" style="3" customWidth="1"/>
    <col min="7166" max="7169" width="16.85546875" style="3" customWidth="1"/>
    <col min="7170" max="7170" width="17.140625" style="3" customWidth="1"/>
    <col min="7171" max="7175" width="0" style="3" hidden="1" customWidth="1"/>
    <col min="7176" max="7176" width="13.140625" style="3" bestFit="1" customWidth="1"/>
    <col min="7177" max="7177" width="16.140625" style="3" customWidth="1"/>
    <col min="7178" max="7410" width="9.140625" style="3"/>
    <col min="7411" max="7411" width="18.85546875" style="3" customWidth="1"/>
    <col min="7412" max="7412" width="28" style="3" customWidth="1"/>
    <col min="7413" max="7413" width="16.42578125" style="3" customWidth="1"/>
    <col min="7414" max="7414" width="0" style="3" hidden="1" customWidth="1"/>
    <col min="7415" max="7415" width="18.85546875" style="3" customWidth="1"/>
    <col min="7416" max="7416" width="18.140625" style="3" customWidth="1"/>
    <col min="7417" max="7417" width="17.7109375" style="3" customWidth="1"/>
    <col min="7418" max="7418" width="18" style="3" customWidth="1"/>
    <col min="7419" max="7419" width="0" style="3" hidden="1" customWidth="1"/>
    <col min="7420" max="7420" width="17.42578125" style="3" customWidth="1"/>
    <col min="7421" max="7421" width="14.5703125" style="3" customWidth="1"/>
    <col min="7422" max="7425" width="16.85546875" style="3" customWidth="1"/>
    <col min="7426" max="7426" width="17.140625" style="3" customWidth="1"/>
    <col min="7427" max="7431" width="0" style="3" hidden="1" customWidth="1"/>
    <col min="7432" max="7432" width="13.140625" style="3" bestFit="1" customWidth="1"/>
    <col min="7433" max="7433" width="16.140625" style="3" customWidth="1"/>
    <col min="7434" max="7666" width="9.140625" style="3"/>
    <col min="7667" max="7667" width="18.85546875" style="3" customWidth="1"/>
    <col min="7668" max="7668" width="28" style="3" customWidth="1"/>
    <col min="7669" max="7669" width="16.42578125" style="3" customWidth="1"/>
    <col min="7670" max="7670" width="0" style="3" hidden="1" customWidth="1"/>
    <col min="7671" max="7671" width="18.85546875" style="3" customWidth="1"/>
    <col min="7672" max="7672" width="18.140625" style="3" customWidth="1"/>
    <col min="7673" max="7673" width="17.7109375" style="3" customWidth="1"/>
    <col min="7674" max="7674" width="18" style="3" customWidth="1"/>
    <col min="7675" max="7675" width="0" style="3" hidden="1" customWidth="1"/>
    <col min="7676" max="7676" width="17.42578125" style="3" customWidth="1"/>
    <col min="7677" max="7677" width="14.5703125" style="3" customWidth="1"/>
    <col min="7678" max="7681" width="16.85546875" style="3" customWidth="1"/>
    <col min="7682" max="7682" width="17.140625" style="3" customWidth="1"/>
    <col min="7683" max="7687" width="0" style="3" hidden="1" customWidth="1"/>
    <col min="7688" max="7688" width="13.140625" style="3" bestFit="1" customWidth="1"/>
    <col min="7689" max="7689" width="16.140625" style="3" customWidth="1"/>
    <col min="7690" max="7922" width="9.140625" style="3"/>
    <col min="7923" max="7923" width="18.85546875" style="3" customWidth="1"/>
    <col min="7924" max="7924" width="28" style="3" customWidth="1"/>
    <col min="7925" max="7925" width="16.42578125" style="3" customWidth="1"/>
    <col min="7926" max="7926" width="0" style="3" hidden="1" customWidth="1"/>
    <col min="7927" max="7927" width="18.85546875" style="3" customWidth="1"/>
    <col min="7928" max="7928" width="18.140625" style="3" customWidth="1"/>
    <col min="7929" max="7929" width="17.7109375" style="3" customWidth="1"/>
    <col min="7930" max="7930" width="18" style="3" customWidth="1"/>
    <col min="7931" max="7931" width="0" style="3" hidden="1" customWidth="1"/>
    <col min="7932" max="7932" width="17.42578125" style="3" customWidth="1"/>
    <col min="7933" max="7933" width="14.5703125" style="3" customWidth="1"/>
    <col min="7934" max="7937" width="16.85546875" style="3" customWidth="1"/>
    <col min="7938" max="7938" width="17.140625" style="3" customWidth="1"/>
    <col min="7939" max="7943" width="0" style="3" hidden="1" customWidth="1"/>
    <col min="7944" max="7944" width="13.140625" style="3" bestFit="1" customWidth="1"/>
    <col min="7945" max="7945" width="16.140625" style="3" customWidth="1"/>
    <col min="7946" max="8178" width="9.140625" style="3"/>
    <col min="8179" max="8179" width="18.85546875" style="3" customWidth="1"/>
    <col min="8180" max="8180" width="28" style="3" customWidth="1"/>
    <col min="8181" max="8181" width="16.42578125" style="3" customWidth="1"/>
    <col min="8182" max="8182" width="0" style="3" hidden="1" customWidth="1"/>
    <col min="8183" max="8183" width="18.85546875" style="3" customWidth="1"/>
    <col min="8184" max="8184" width="18.140625" style="3" customWidth="1"/>
    <col min="8185" max="8185" width="17.7109375" style="3" customWidth="1"/>
    <col min="8186" max="8186" width="18" style="3" customWidth="1"/>
    <col min="8187" max="8187" width="0" style="3" hidden="1" customWidth="1"/>
    <col min="8188" max="8188" width="17.42578125" style="3" customWidth="1"/>
    <col min="8189" max="8189" width="14.5703125" style="3" customWidth="1"/>
    <col min="8190" max="8193" width="16.85546875" style="3" customWidth="1"/>
    <col min="8194" max="8194" width="17.140625" style="3" customWidth="1"/>
    <col min="8195" max="8199" width="0" style="3" hidden="1" customWidth="1"/>
    <col min="8200" max="8200" width="13.140625" style="3" bestFit="1" customWidth="1"/>
    <col min="8201" max="8201" width="16.140625" style="3" customWidth="1"/>
    <col min="8202" max="8434" width="9.140625" style="3"/>
    <col min="8435" max="8435" width="18.85546875" style="3" customWidth="1"/>
    <col min="8436" max="8436" width="28" style="3" customWidth="1"/>
    <col min="8437" max="8437" width="16.42578125" style="3" customWidth="1"/>
    <col min="8438" max="8438" width="0" style="3" hidden="1" customWidth="1"/>
    <col min="8439" max="8439" width="18.85546875" style="3" customWidth="1"/>
    <col min="8440" max="8440" width="18.140625" style="3" customWidth="1"/>
    <col min="8441" max="8441" width="17.7109375" style="3" customWidth="1"/>
    <col min="8442" max="8442" width="18" style="3" customWidth="1"/>
    <col min="8443" max="8443" width="0" style="3" hidden="1" customWidth="1"/>
    <col min="8444" max="8444" width="17.42578125" style="3" customWidth="1"/>
    <col min="8445" max="8445" width="14.5703125" style="3" customWidth="1"/>
    <col min="8446" max="8449" width="16.85546875" style="3" customWidth="1"/>
    <col min="8450" max="8450" width="17.140625" style="3" customWidth="1"/>
    <col min="8451" max="8455" width="0" style="3" hidden="1" customWidth="1"/>
    <col min="8456" max="8456" width="13.140625" style="3" bestFit="1" customWidth="1"/>
    <col min="8457" max="8457" width="16.140625" style="3" customWidth="1"/>
    <col min="8458" max="8690" width="9.140625" style="3"/>
    <col min="8691" max="8691" width="18.85546875" style="3" customWidth="1"/>
    <col min="8692" max="8692" width="28" style="3" customWidth="1"/>
    <col min="8693" max="8693" width="16.42578125" style="3" customWidth="1"/>
    <col min="8694" max="8694" width="0" style="3" hidden="1" customWidth="1"/>
    <col min="8695" max="8695" width="18.85546875" style="3" customWidth="1"/>
    <col min="8696" max="8696" width="18.140625" style="3" customWidth="1"/>
    <col min="8697" max="8697" width="17.7109375" style="3" customWidth="1"/>
    <col min="8698" max="8698" width="18" style="3" customWidth="1"/>
    <col min="8699" max="8699" width="0" style="3" hidden="1" customWidth="1"/>
    <col min="8700" max="8700" width="17.42578125" style="3" customWidth="1"/>
    <col min="8701" max="8701" width="14.5703125" style="3" customWidth="1"/>
    <col min="8702" max="8705" width="16.85546875" style="3" customWidth="1"/>
    <col min="8706" max="8706" width="17.140625" style="3" customWidth="1"/>
    <col min="8707" max="8711" width="0" style="3" hidden="1" customWidth="1"/>
    <col min="8712" max="8712" width="13.140625" style="3" bestFit="1" customWidth="1"/>
    <col min="8713" max="8713" width="16.140625" style="3" customWidth="1"/>
    <col min="8714" max="8946" width="9.140625" style="3"/>
    <col min="8947" max="8947" width="18.85546875" style="3" customWidth="1"/>
    <col min="8948" max="8948" width="28" style="3" customWidth="1"/>
    <col min="8949" max="8949" width="16.42578125" style="3" customWidth="1"/>
    <col min="8950" max="8950" width="0" style="3" hidden="1" customWidth="1"/>
    <col min="8951" max="8951" width="18.85546875" style="3" customWidth="1"/>
    <col min="8952" max="8952" width="18.140625" style="3" customWidth="1"/>
    <col min="8953" max="8953" width="17.7109375" style="3" customWidth="1"/>
    <col min="8954" max="8954" width="18" style="3" customWidth="1"/>
    <col min="8955" max="8955" width="0" style="3" hidden="1" customWidth="1"/>
    <col min="8956" max="8956" width="17.42578125" style="3" customWidth="1"/>
    <col min="8957" max="8957" width="14.5703125" style="3" customWidth="1"/>
    <col min="8958" max="8961" width="16.85546875" style="3" customWidth="1"/>
    <col min="8962" max="8962" width="17.140625" style="3" customWidth="1"/>
    <col min="8963" max="8967" width="0" style="3" hidden="1" customWidth="1"/>
    <col min="8968" max="8968" width="13.140625" style="3" bestFit="1" customWidth="1"/>
    <col min="8969" max="8969" width="16.140625" style="3" customWidth="1"/>
    <col min="8970" max="9202" width="9.140625" style="3"/>
    <col min="9203" max="9203" width="18.85546875" style="3" customWidth="1"/>
    <col min="9204" max="9204" width="28" style="3" customWidth="1"/>
    <col min="9205" max="9205" width="16.42578125" style="3" customWidth="1"/>
    <col min="9206" max="9206" width="0" style="3" hidden="1" customWidth="1"/>
    <col min="9207" max="9207" width="18.85546875" style="3" customWidth="1"/>
    <col min="9208" max="9208" width="18.140625" style="3" customWidth="1"/>
    <col min="9209" max="9209" width="17.7109375" style="3" customWidth="1"/>
    <col min="9210" max="9210" width="18" style="3" customWidth="1"/>
    <col min="9211" max="9211" width="0" style="3" hidden="1" customWidth="1"/>
    <col min="9212" max="9212" width="17.42578125" style="3" customWidth="1"/>
    <col min="9213" max="9213" width="14.5703125" style="3" customWidth="1"/>
    <col min="9214" max="9217" width="16.85546875" style="3" customWidth="1"/>
    <col min="9218" max="9218" width="17.140625" style="3" customWidth="1"/>
    <col min="9219" max="9223" width="0" style="3" hidden="1" customWidth="1"/>
    <col min="9224" max="9224" width="13.140625" style="3" bestFit="1" customWidth="1"/>
    <col min="9225" max="9225" width="16.140625" style="3" customWidth="1"/>
    <col min="9226" max="9458" width="9.140625" style="3"/>
    <col min="9459" max="9459" width="18.85546875" style="3" customWidth="1"/>
    <col min="9460" max="9460" width="28" style="3" customWidth="1"/>
    <col min="9461" max="9461" width="16.42578125" style="3" customWidth="1"/>
    <col min="9462" max="9462" width="0" style="3" hidden="1" customWidth="1"/>
    <col min="9463" max="9463" width="18.85546875" style="3" customWidth="1"/>
    <col min="9464" max="9464" width="18.140625" style="3" customWidth="1"/>
    <col min="9465" max="9465" width="17.7109375" style="3" customWidth="1"/>
    <col min="9466" max="9466" width="18" style="3" customWidth="1"/>
    <col min="9467" max="9467" width="0" style="3" hidden="1" customWidth="1"/>
    <col min="9468" max="9468" width="17.42578125" style="3" customWidth="1"/>
    <col min="9469" max="9469" width="14.5703125" style="3" customWidth="1"/>
    <col min="9470" max="9473" width="16.85546875" style="3" customWidth="1"/>
    <col min="9474" max="9474" width="17.140625" style="3" customWidth="1"/>
    <col min="9475" max="9479" width="0" style="3" hidden="1" customWidth="1"/>
    <col min="9480" max="9480" width="13.140625" style="3" bestFit="1" customWidth="1"/>
    <col min="9481" max="9481" width="16.140625" style="3" customWidth="1"/>
    <col min="9482" max="9714" width="9.140625" style="3"/>
    <col min="9715" max="9715" width="18.85546875" style="3" customWidth="1"/>
    <col min="9716" max="9716" width="28" style="3" customWidth="1"/>
    <col min="9717" max="9717" width="16.42578125" style="3" customWidth="1"/>
    <col min="9718" max="9718" width="0" style="3" hidden="1" customWidth="1"/>
    <col min="9719" max="9719" width="18.85546875" style="3" customWidth="1"/>
    <col min="9720" max="9720" width="18.140625" style="3" customWidth="1"/>
    <col min="9721" max="9721" width="17.7109375" style="3" customWidth="1"/>
    <col min="9722" max="9722" width="18" style="3" customWidth="1"/>
    <col min="9723" max="9723" width="0" style="3" hidden="1" customWidth="1"/>
    <col min="9724" max="9724" width="17.42578125" style="3" customWidth="1"/>
    <col min="9725" max="9725" width="14.5703125" style="3" customWidth="1"/>
    <col min="9726" max="9729" width="16.85546875" style="3" customWidth="1"/>
    <col min="9730" max="9730" width="17.140625" style="3" customWidth="1"/>
    <col min="9731" max="9735" width="0" style="3" hidden="1" customWidth="1"/>
    <col min="9736" max="9736" width="13.140625" style="3" bestFit="1" customWidth="1"/>
    <col min="9737" max="9737" width="16.140625" style="3" customWidth="1"/>
    <col min="9738" max="9970" width="9.140625" style="3"/>
    <col min="9971" max="9971" width="18.85546875" style="3" customWidth="1"/>
    <col min="9972" max="9972" width="28" style="3" customWidth="1"/>
    <col min="9973" max="9973" width="16.42578125" style="3" customWidth="1"/>
    <col min="9974" max="9974" width="0" style="3" hidden="1" customWidth="1"/>
    <col min="9975" max="9975" width="18.85546875" style="3" customWidth="1"/>
    <col min="9976" max="9976" width="18.140625" style="3" customWidth="1"/>
    <col min="9977" max="9977" width="17.7109375" style="3" customWidth="1"/>
    <col min="9978" max="9978" width="18" style="3" customWidth="1"/>
    <col min="9979" max="9979" width="0" style="3" hidden="1" customWidth="1"/>
    <col min="9980" max="9980" width="17.42578125" style="3" customWidth="1"/>
    <col min="9981" max="9981" width="14.5703125" style="3" customWidth="1"/>
    <col min="9982" max="9985" width="16.85546875" style="3" customWidth="1"/>
    <col min="9986" max="9986" width="17.140625" style="3" customWidth="1"/>
    <col min="9987" max="9991" width="0" style="3" hidden="1" customWidth="1"/>
    <col min="9992" max="9992" width="13.140625" style="3" bestFit="1" customWidth="1"/>
    <col min="9993" max="9993" width="16.140625" style="3" customWidth="1"/>
    <col min="9994" max="10226" width="9.140625" style="3"/>
    <col min="10227" max="10227" width="18.85546875" style="3" customWidth="1"/>
    <col min="10228" max="10228" width="28" style="3" customWidth="1"/>
    <col min="10229" max="10229" width="16.42578125" style="3" customWidth="1"/>
    <col min="10230" max="10230" width="0" style="3" hidden="1" customWidth="1"/>
    <col min="10231" max="10231" width="18.85546875" style="3" customWidth="1"/>
    <col min="10232" max="10232" width="18.140625" style="3" customWidth="1"/>
    <col min="10233" max="10233" width="17.7109375" style="3" customWidth="1"/>
    <col min="10234" max="10234" width="18" style="3" customWidth="1"/>
    <col min="10235" max="10235" width="0" style="3" hidden="1" customWidth="1"/>
    <col min="10236" max="10236" width="17.42578125" style="3" customWidth="1"/>
    <col min="10237" max="10237" width="14.5703125" style="3" customWidth="1"/>
    <col min="10238" max="10241" width="16.85546875" style="3" customWidth="1"/>
    <col min="10242" max="10242" width="17.140625" style="3" customWidth="1"/>
    <col min="10243" max="10247" width="0" style="3" hidden="1" customWidth="1"/>
    <col min="10248" max="10248" width="13.140625" style="3" bestFit="1" customWidth="1"/>
    <col min="10249" max="10249" width="16.140625" style="3" customWidth="1"/>
    <col min="10250" max="10482" width="9.140625" style="3"/>
    <col min="10483" max="10483" width="18.85546875" style="3" customWidth="1"/>
    <col min="10484" max="10484" width="28" style="3" customWidth="1"/>
    <col min="10485" max="10485" width="16.42578125" style="3" customWidth="1"/>
    <col min="10486" max="10486" width="0" style="3" hidden="1" customWidth="1"/>
    <col min="10487" max="10487" width="18.85546875" style="3" customWidth="1"/>
    <col min="10488" max="10488" width="18.140625" style="3" customWidth="1"/>
    <col min="10489" max="10489" width="17.7109375" style="3" customWidth="1"/>
    <col min="10490" max="10490" width="18" style="3" customWidth="1"/>
    <col min="10491" max="10491" width="0" style="3" hidden="1" customWidth="1"/>
    <col min="10492" max="10492" width="17.42578125" style="3" customWidth="1"/>
    <col min="10493" max="10493" width="14.5703125" style="3" customWidth="1"/>
    <col min="10494" max="10497" width="16.85546875" style="3" customWidth="1"/>
    <col min="10498" max="10498" width="17.140625" style="3" customWidth="1"/>
    <col min="10499" max="10503" width="0" style="3" hidden="1" customWidth="1"/>
    <col min="10504" max="10504" width="13.140625" style="3" bestFit="1" customWidth="1"/>
    <col min="10505" max="10505" width="16.140625" style="3" customWidth="1"/>
    <col min="10506" max="10738" width="9.140625" style="3"/>
    <col min="10739" max="10739" width="18.85546875" style="3" customWidth="1"/>
    <col min="10740" max="10740" width="28" style="3" customWidth="1"/>
    <col min="10741" max="10741" width="16.42578125" style="3" customWidth="1"/>
    <col min="10742" max="10742" width="0" style="3" hidden="1" customWidth="1"/>
    <col min="10743" max="10743" width="18.85546875" style="3" customWidth="1"/>
    <col min="10744" max="10744" width="18.140625" style="3" customWidth="1"/>
    <col min="10745" max="10745" width="17.7109375" style="3" customWidth="1"/>
    <col min="10746" max="10746" width="18" style="3" customWidth="1"/>
    <col min="10747" max="10747" width="0" style="3" hidden="1" customWidth="1"/>
    <col min="10748" max="10748" width="17.42578125" style="3" customWidth="1"/>
    <col min="10749" max="10749" width="14.5703125" style="3" customWidth="1"/>
    <col min="10750" max="10753" width="16.85546875" style="3" customWidth="1"/>
    <col min="10754" max="10754" width="17.140625" style="3" customWidth="1"/>
    <col min="10755" max="10759" width="0" style="3" hidden="1" customWidth="1"/>
    <col min="10760" max="10760" width="13.140625" style="3" bestFit="1" customWidth="1"/>
    <col min="10761" max="10761" width="16.140625" style="3" customWidth="1"/>
    <col min="10762" max="10994" width="9.140625" style="3"/>
    <col min="10995" max="10995" width="18.85546875" style="3" customWidth="1"/>
    <col min="10996" max="10996" width="28" style="3" customWidth="1"/>
    <col min="10997" max="10997" width="16.42578125" style="3" customWidth="1"/>
    <col min="10998" max="10998" width="0" style="3" hidden="1" customWidth="1"/>
    <col min="10999" max="10999" width="18.85546875" style="3" customWidth="1"/>
    <col min="11000" max="11000" width="18.140625" style="3" customWidth="1"/>
    <col min="11001" max="11001" width="17.7109375" style="3" customWidth="1"/>
    <col min="11002" max="11002" width="18" style="3" customWidth="1"/>
    <col min="11003" max="11003" width="0" style="3" hidden="1" customWidth="1"/>
    <col min="11004" max="11004" width="17.42578125" style="3" customWidth="1"/>
    <col min="11005" max="11005" width="14.5703125" style="3" customWidth="1"/>
    <col min="11006" max="11009" width="16.85546875" style="3" customWidth="1"/>
    <col min="11010" max="11010" width="17.140625" style="3" customWidth="1"/>
    <col min="11011" max="11015" width="0" style="3" hidden="1" customWidth="1"/>
    <col min="11016" max="11016" width="13.140625" style="3" bestFit="1" customWidth="1"/>
    <col min="11017" max="11017" width="16.140625" style="3" customWidth="1"/>
    <col min="11018" max="11250" width="9.140625" style="3"/>
    <col min="11251" max="11251" width="18.85546875" style="3" customWidth="1"/>
    <col min="11252" max="11252" width="28" style="3" customWidth="1"/>
    <col min="11253" max="11253" width="16.42578125" style="3" customWidth="1"/>
    <col min="11254" max="11254" width="0" style="3" hidden="1" customWidth="1"/>
    <col min="11255" max="11255" width="18.85546875" style="3" customWidth="1"/>
    <col min="11256" max="11256" width="18.140625" style="3" customWidth="1"/>
    <col min="11257" max="11257" width="17.7109375" style="3" customWidth="1"/>
    <col min="11258" max="11258" width="18" style="3" customWidth="1"/>
    <col min="11259" max="11259" width="0" style="3" hidden="1" customWidth="1"/>
    <col min="11260" max="11260" width="17.42578125" style="3" customWidth="1"/>
    <col min="11261" max="11261" width="14.5703125" style="3" customWidth="1"/>
    <col min="11262" max="11265" width="16.85546875" style="3" customWidth="1"/>
    <col min="11266" max="11266" width="17.140625" style="3" customWidth="1"/>
    <col min="11267" max="11271" width="0" style="3" hidden="1" customWidth="1"/>
    <col min="11272" max="11272" width="13.140625" style="3" bestFit="1" customWidth="1"/>
    <col min="11273" max="11273" width="16.140625" style="3" customWidth="1"/>
    <col min="11274" max="11506" width="9.140625" style="3"/>
    <col min="11507" max="11507" width="18.85546875" style="3" customWidth="1"/>
    <col min="11508" max="11508" width="28" style="3" customWidth="1"/>
    <col min="11509" max="11509" width="16.42578125" style="3" customWidth="1"/>
    <col min="11510" max="11510" width="0" style="3" hidden="1" customWidth="1"/>
    <col min="11511" max="11511" width="18.85546875" style="3" customWidth="1"/>
    <col min="11512" max="11512" width="18.140625" style="3" customWidth="1"/>
    <col min="11513" max="11513" width="17.7109375" style="3" customWidth="1"/>
    <col min="11514" max="11514" width="18" style="3" customWidth="1"/>
    <col min="11515" max="11515" width="0" style="3" hidden="1" customWidth="1"/>
    <col min="11516" max="11516" width="17.42578125" style="3" customWidth="1"/>
    <col min="11517" max="11517" width="14.5703125" style="3" customWidth="1"/>
    <col min="11518" max="11521" width="16.85546875" style="3" customWidth="1"/>
    <col min="11522" max="11522" width="17.140625" style="3" customWidth="1"/>
    <col min="11523" max="11527" width="0" style="3" hidden="1" customWidth="1"/>
    <col min="11528" max="11528" width="13.140625" style="3" bestFit="1" customWidth="1"/>
    <col min="11529" max="11529" width="16.140625" style="3" customWidth="1"/>
    <col min="11530" max="11762" width="9.140625" style="3"/>
    <col min="11763" max="11763" width="18.85546875" style="3" customWidth="1"/>
    <col min="11764" max="11764" width="28" style="3" customWidth="1"/>
    <col min="11765" max="11765" width="16.42578125" style="3" customWidth="1"/>
    <col min="11766" max="11766" width="0" style="3" hidden="1" customWidth="1"/>
    <col min="11767" max="11767" width="18.85546875" style="3" customWidth="1"/>
    <col min="11768" max="11768" width="18.140625" style="3" customWidth="1"/>
    <col min="11769" max="11769" width="17.7109375" style="3" customWidth="1"/>
    <col min="11770" max="11770" width="18" style="3" customWidth="1"/>
    <col min="11771" max="11771" width="0" style="3" hidden="1" customWidth="1"/>
    <col min="11772" max="11772" width="17.42578125" style="3" customWidth="1"/>
    <col min="11773" max="11773" width="14.5703125" style="3" customWidth="1"/>
    <col min="11774" max="11777" width="16.85546875" style="3" customWidth="1"/>
    <col min="11778" max="11778" width="17.140625" style="3" customWidth="1"/>
    <col min="11779" max="11783" width="0" style="3" hidden="1" customWidth="1"/>
    <col min="11784" max="11784" width="13.140625" style="3" bestFit="1" customWidth="1"/>
    <col min="11785" max="11785" width="16.140625" style="3" customWidth="1"/>
    <col min="11786" max="12018" width="9.140625" style="3"/>
    <col min="12019" max="12019" width="18.85546875" style="3" customWidth="1"/>
    <col min="12020" max="12020" width="28" style="3" customWidth="1"/>
    <col min="12021" max="12021" width="16.42578125" style="3" customWidth="1"/>
    <col min="12022" max="12022" width="0" style="3" hidden="1" customWidth="1"/>
    <col min="12023" max="12023" width="18.85546875" style="3" customWidth="1"/>
    <col min="12024" max="12024" width="18.140625" style="3" customWidth="1"/>
    <col min="12025" max="12025" width="17.7109375" style="3" customWidth="1"/>
    <col min="12026" max="12026" width="18" style="3" customWidth="1"/>
    <col min="12027" max="12027" width="0" style="3" hidden="1" customWidth="1"/>
    <col min="12028" max="12028" width="17.42578125" style="3" customWidth="1"/>
    <col min="12029" max="12029" width="14.5703125" style="3" customWidth="1"/>
    <col min="12030" max="12033" width="16.85546875" style="3" customWidth="1"/>
    <col min="12034" max="12034" width="17.140625" style="3" customWidth="1"/>
    <col min="12035" max="12039" width="0" style="3" hidden="1" customWidth="1"/>
    <col min="12040" max="12040" width="13.140625" style="3" bestFit="1" customWidth="1"/>
    <col min="12041" max="12041" width="16.140625" style="3" customWidth="1"/>
    <col min="12042" max="12274" width="9.140625" style="3"/>
    <col min="12275" max="12275" width="18.85546875" style="3" customWidth="1"/>
    <col min="12276" max="12276" width="28" style="3" customWidth="1"/>
    <col min="12277" max="12277" width="16.42578125" style="3" customWidth="1"/>
    <col min="12278" max="12278" width="0" style="3" hidden="1" customWidth="1"/>
    <col min="12279" max="12279" width="18.85546875" style="3" customWidth="1"/>
    <col min="12280" max="12280" width="18.140625" style="3" customWidth="1"/>
    <col min="12281" max="12281" width="17.7109375" style="3" customWidth="1"/>
    <col min="12282" max="12282" width="18" style="3" customWidth="1"/>
    <col min="12283" max="12283" width="0" style="3" hidden="1" customWidth="1"/>
    <col min="12284" max="12284" width="17.42578125" style="3" customWidth="1"/>
    <col min="12285" max="12285" width="14.5703125" style="3" customWidth="1"/>
    <col min="12286" max="12289" width="16.85546875" style="3" customWidth="1"/>
    <col min="12290" max="12290" width="17.140625" style="3" customWidth="1"/>
    <col min="12291" max="12295" width="0" style="3" hidden="1" customWidth="1"/>
    <col min="12296" max="12296" width="13.140625" style="3" bestFit="1" customWidth="1"/>
    <col min="12297" max="12297" width="16.140625" style="3" customWidth="1"/>
    <col min="12298" max="12530" width="9.140625" style="3"/>
    <col min="12531" max="12531" width="18.85546875" style="3" customWidth="1"/>
    <col min="12532" max="12532" width="28" style="3" customWidth="1"/>
    <col min="12533" max="12533" width="16.42578125" style="3" customWidth="1"/>
    <col min="12534" max="12534" width="0" style="3" hidden="1" customWidth="1"/>
    <col min="12535" max="12535" width="18.85546875" style="3" customWidth="1"/>
    <col min="12536" max="12536" width="18.140625" style="3" customWidth="1"/>
    <col min="12537" max="12537" width="17.7109375" style="3" customWidth="1"/>
    <col min="12538" max="12538" width="18" style="3" customWidth="1"/>
    <col min="12539" max="12539" width="0" style="3" hidden="1" customWidth="1"/>
    <col min="12540" max="12540" width="17.42578125" style="3" customWidth="1"/>
    <col min="12541" max="12541" width="14.5703125" style="3" customWidth="1"/>
    <col min="12542" max="12545" width="16.85546875" style="3" customWidth="1"/>
    <col min="12546" max="12546" width="17.140625" style="3" customWidth="1"/>
    <col min="12547" max="12551" width="0" style="3" hidden="1" customWidth="1"/>
    <col min="12552" max="12552" width="13.140625" style="3" bestFit="1" customWidth="1"/>
    <col min="12553" max="12553" width="16.140625" style="3" customWidth="1"/>
    <col min="12554" max="12786" width="9.140625" style="3"/>
    <col min="12787" max="12787" width="18.85546875" style="3" customWidth="1"/>
    <col min="12788" max="12788" width="28" style="3" customWidth="1"/>
    <col min="12789" max="12789" width="16.42578125" style="3" customWidth="1"/>
    <col min="12790" max="12790" width="0" style="3" hidden="1" customWidth="1"/>
    <col min="12791" max="12791" width="18.85546875" style="3" customWidth="1"/>
    <col min="12792" max="12792" width="18.140625" style="3" customWidth="1"/>
    <col min="12793" max="12793" width="17.7109375" style="3" customWidth="1"/>
    <col min="12794" max="12794" width="18" style="3" customWidth="1"/>
    <col min="12795" max="12795" width="0" style="3" hidden="1" customWidth="1"/>
    <col min="12796" max="12796" width="17.42578125" style="3" customWidth="1"/>
    <col min="12797" max="12797" width="14.5703125" style="3" customWidth="1"/>
    <col min="12798" max="12801" width="16.85546875" style="3" customWidth="1"/>
    <col min="12802" max="12802" width="17.140625" style="3" customWidth="1"/>
    <col min="12803" max="12807" width="0" style="3" hidden="1" customWidth="1"/>
    <col min="12808" max="12808" width="13.140625" style="3" bestFit="1" customWidth="1"/>
    <col min="12809" max="12809" width="16.140625" style="3" customWidth="1"/>
    <col min="12810" max="13042" width="9.140625" style="3"/>
    <col min="13043" max="13043" width="18.85546875" style="3" customWidth="1"/>
    <col min="13044" max="13044" width="28" style="3" customWidth="1"/>
    <col min="13045" max="13045" width="16.42578125" style="3" customWidth="1"/>
    <col min="13046" max="13046" width="0" style="3" hidden="1" customWidth="1"/>
    <col min="13047" max="13047" width="18.85546875" style="3" customWidth="1"/>
    <col min="13048" max="13048" width="18.140625" style="3" customWidth="1"/>
    <col min="13049" max="13049" width="17.7109375" style="3" customWidth="1"/>
    <col min="13050" max="13050" width="18" style="3" customWidth="1"/>
    <col min="13051" max="13051" width="0" style="3" hidden="1" customWidth="1"/>
    <col min="13052" max="13052" width="17.42578125" style="3" customWidth="1"/>
    <col min="13053" max="13053" width="14.5703125" style="3" customWidth="1"/>
    <col min="13054" max="13057" width="16.85546875" style="3" customWidth="1"/>
    <col min="13058" max="13058" width="17.140625" style="3" customWidth="1"/>
    <col min="13059" max="13063" width="0" style="3" hidden="1" customWidth="1"/>
    <col min="13064" max="13064" width="13.140625" style="3" bestFit="1" customWidth="1"/>
    <col min="13065" max="13065" width="16.140625" style="3" customWidth="1"/>
    <col min="13066" max="13298" width="9.140625" style="3"/>
    <col min="13299" max="13299" width="18.85546875" style="3" customWidth="1"/>
    <col min="13300" max="13300" width="28" style="3" customWidth="1"/>
    <col min="13301" max="13301" width="16.42578125" style="3" customWidth="1"/>
    <col min="13302" max="13302" width="0" style="3" hidden="1" customWidth="1"/>
    <col min="13303" max="13303" width="18.85546875" style="3" customWidth="1"/>
    <col min="13304" max="13304" width="18.140625" style="3" customWidth="1"/>
    <col min="13305" max="13305" width="17.7109375" style="3" customWidth="1"/>
    <col min="13306" max="13306" width="18" style="3" customWidth="1"/>
    <col min="13307" max="13307" width="0" style="3" hidden="1" customWidth="1"/>
    <col min="13308" max="13308" width="17.42578125" style="3" customWidth="1"/>
    <col min="13309" max="13309" width="14.5703125" style="3" customWidth="1"/>
    <col min="13310" max="13313" width="16.85546875" style="3" customWidth="1"/>
    <col min="13314" max="13314" width="17.140625" style="3" customWidth="1"/>
    <col min="13315" max="13319" width="0" style="3" hidden="1" customWidth="1"/>
    <col min="13320" max="13320" width="13.140625" style="3" bestFit="1" customWidth="1"/>
    <col min="13321" max="13321" width="16.140625" style="3" customWidth="1"/>
    <col min="13322" max="13554" width="9.140625" style="3"/>
    <col min="13555" max="13555" width="18.85546875" style="3" customWidth="1"/>
    <col min="13556" max="13556" width="28" style="3" customWidth="1"/>
    <col min="13557" max="13557" width="16.42578125" style="3" customWidth="1"/>
    <col min="13558" max="13558" width="0" style="3" hidden="1" customWidth="1"/>
    <col min="13559" max="13559" width="18.85546875" style="3" customWidth="1"/>
    <col min="13560" max="13560" width="18.140625" style="3" customWidth="1"/>
    <col min="13561" max="13561" width="17.7109375" style="3" customWidth="1"/>
    <col min="13562" max="13562" width="18" style="3" customWidth="1"/>
    <col min="13563" max="13563" width="0" style="3" hidden="1" customWidth="1"/>
    <col min="13564" max="13564" width="17.42578125" style="3" customWidth="1"/>
    <col min="13565" max="13565" width="14.5703125" style="3" customWidth="1"/>
    <col min="13566" max="13569" width="16.85546875" style="3" customWidth="1"/>
    <col min="13570" max="13570" width="17.140625" style="3" customWidth="1"/>
    <col min="13571" max="13575" width="0" style="3" hidden="1" customWidth="1"/>
    <col min="13576" max="13576" width="13.140625" style="3" bestFit="1" customWidth="1"/>
    <col min="13577" max="13577" width="16.140625" style="3" customWidth="1"/>
    <col min="13578" max="13810" width="9.140625" style="3"/>
    <col min="13811" max="13811" width="18.85546875" style="3" customWidth="1"/>
    <col min="13812" max="13812" width="28" style="3" customWidth="1"/>
    <col min="13813" max="13813" width="16.42578125" style="3" customWidth="1"/>
    <col min="13814" max="13814" width="0" style="3" hidden="1" customWidth="1"/>
    <col min="13815" max="13815" width="18.85546875" style="3" customWidth="1"/>
    <col min="13816" max="13816" width="18.140625" style="3" customWidth="1"/>
    <col min="13817" max="13817" width="17.7109375" style="3" customWidth="1"/>
    <col min="13818" max="13818" width="18" style="3" customWidth="1"/>
    <col min="13819" max="13819" width="0" style="3" hidden="1" customWidth="1"/>
    <col min="13820" max="13820" width="17.42578125" style="3" customWidth="1"/>
    <col min="13821" max="13821" width="14.5703125" style="3" customWidth="1"/>
    <col min="13822" max="13825" width="16.85546875" style="3" customWidth="1"/>
    <col min="13826" max="13826" width="17.140625" style="3" customWidth="1"/>
    <col min="13827" max="13831" width="0" style="3" hidden="1" customWidth="1"/>
    <col min="13832" max="13832" width="13.140625" style="3" bestFit="1" customWidth="1"/>
    <col min="13833" max="13833" width="16.140625" style="3" customWidth="1"/>
    <col min="13834" max="14066" width="9.140625" style="3"/>
    <col min="14067" max="14067" width="18.85546875" style="3" customWidth="1"/>
    <col min="14068" max="14068" width="28" style="3" customWidth="1"/>
    <col min="14069" max="14069" width="16.42578125" style="3" customWidth="1"/>
    <col min="14070" max="14070" width="0" style="3" hidden="1" customWidth="1"/>
    <col min="14071" max="14071" width="18.85546875" style="3" customWidth="1"/>
    <col min="14072" max="14072" width="18.140625" style="3" customWidth="1"/>
    <col min="14073" max="14073" width="17.7109375" style="3" customWidth="1"/>
    <col min="14074" max="14074" width="18" style="3" customWidth="1"/>
    <col min="14075" max="14075" width="0" style="3" hidden="1" customWidth="1"/>
    <col min="14076" max="14076" width="17.42578125" style="3" customWidth="1"/>
    <col min="14077" max="14077" width="14.5703125" style="3" customWidth="1"/>
    <col min="14078" max="14081" width="16.85546875" style="3" customWidth="1"/>
    <col min="14082" max="14082" width="17.140625" style="3" customWidth="1"/>
    <col min="14083" max="14087" width="0" style="3" hidden="1" customWidth="1"/>
    <col min="14088" max="14088" width="13.140625" style="3" bestFit="1" customWidth="1"/>
    <col min="14089" max="14089" width="16.140625" style="3" customWidth="1"/>
    <col min="14090" max="14322" width="9.140625" style="3"/>
    <col min="14323" max="14323" width="18.85546875" style="3" customWidth="1"/>
    <col min="14324" max="14324" width="28" style="3" customWidth="1"/>
    <col min="14325" max="14325" width="16.42578125" style="3" customWidth="1"/>
    <col min="14326" max="14326" width="0" style="3" hidden="1" customWidth="1"/>
    <col min="14327" max="14327" width="18.85546875" style="3" customWidth="1"/>
    <col min="14328" max="14328" width="18.140625" style="3" customWidth="1"/>
    <col min="14329" max="14329" width="17.7109375" style="3" customWidth="1"/>
    <col min="14330" max="14330" width="18" style="3" customWidth="1"/>
    <col min="14331" max="14331" width="0" style="3" hidden="1" customWidth="1"/>
    <col min="14332" max="14332" width="17.42578125" style="3" customWidth="1"/>
    <col min="14333" max="14333" width="14.5703125" style="3" customWidth="1"/>
    <col min="14334" max="14337" width="16.85546875" style="3" customWidth="1"/>
    <col min="14338" max="14338" width="17.140625" style="3" customWidth="1"/>
    <col min="14339" max="14343" width="0" style="3" hidden="1" customWidth="1"/>
    <col min="14344" max="14344" width="13.140625" style="3" bestFit="1" customWidth="1"/>
    <col min="14345" max="14345" width="16.140625" style="3" customWidth="1"/>
    <col min="14346" max="14578" width="9.140625" style="3"/>
    <col min="14579" max="14579" width="18.85546875" style="3" customWidth="1"/>
    <col min="14580" max="14580" width="28" style="3" customWidth="1"/>
    <col min="14581" max="14581" width="16.42578125" style="3" customWidth="1"/>
    <col min="14582" max="14582" width="0" style="3" hidden="1" customWidth="1"/>
    <col min="14583" max="14583" width="18.85546875" style="3" customWidth="1"/>
    <col min="14584" max="14584" width="18.140625" style="3" customWidth="1"/>
    <col min="14585" max="14585" width="17.7109375" style="3" customWidth="1"/>
    <col min="14586" max="14586" width="18" style="3" customWidth="1"/>
    <col min="14587" max="14587" width="0" style="3" hidden="1" customWidth="1"/>
    <col min="14588" max="14588" width="17.42578125" style="3" customWidth="1"/>
    <col min="14589" max="14589" width="14.5703125" style="3" customWidth="1"/>
    <col min="14590" max="14593" width="16.85546875" style="3" customWidth="1"/>
    <col min="14594" max="14594" width="17.140625" style="3" customWidth="1"/>
    <col min="14595" max="14599" width="0" style="3" hidden="1" customWidth="1"/>
    <col min="14600" max="14600" width="13.140625" style="3" bestFit="1" customWidth="1"/>
    <col min="14601" max="14601" width="16.140625" style="3" customWidth="1"/>
    <col min="14602" max="14834" width="9.140625" style="3"/>
    <col min="14835" max="14835" width="18.85546875" style="3" customWidth="1"/>
    <col min="14836" max="14836" width="28" style="3" customWidth="1"/>
    <col min="14837" max="14837" width="16.42578125" style="3" customWidth="1"/>
    <col min="14838" max="14838" width="0" style="3" hidden="1" customWidth="1"/>
    <col min="14839" max="14839" width="18.85546875" style="3" customWidth="1"/>
    <col min="14840" max="14840" width="18.140625" style="3" customWidth="1"/>
    <col min="14841" max="14841" width="17.7109375" style="3" customWidth="1"/>
    <col min="14842" max="14842" width="18" style="3" customWidth="1"/>
    <col min="14843" max="14843" width="0" style="3" hidden="1" customWidth="1"/>
    <col min="14844" max="14844" width="17.42578125" style="3" customWidth="1"/>
    <col min="14845" max="14845" width="14.5703125" style="3" customWidth="1"/>
    <col min="14846" max="14849" width="16.85546875" style="3" customWidth="1"/>
    <col min="14850" max="14850" width="17.140625" style="3" customWidth="1"/>
    <col min="14851" max="14855" width="0" style="3" hidden="1" customWidth="1"/>
    <col min="14856" max="14856" width="13.140625" style="3" bestFit="1" customWidth="1"/>
    <col min="14857" max="14857" width="16.140625" style="3" customWidth="1"/>
    <col min="14858" max="15090" width="9.140625" style="3"/>
    <col min="15091" max="15091" width="18.85546875" style="3" customWidth="1"/>
    <col min="15092" max="15092" width="28" style="3" customWidth="1"/>
    <col min="15093" max="15093" width="16.42578125" style="3" customWidth="1"/>
    <col min="15094" max="15094" width="0" style="3" hidden="1" customWidth="1"/>
    <col min="15095" max="15095" width="18.85546875" style="3" customWidth="1"/>
    <col min="15096" max="15096" width="18.140625" style="3" customWidth="1"/>
    <col min="15097" max="15097" width="17.7109375" style="3" customWidth="1"/>
    <col min="15098" max="15098" width="18" style="3" customWidth="1"/>
    <col min="15099" max="15099" width="0" style="3" hidden="1" customWidth="1"/>
    <col min="15100" max="15100" width="17.42578125" style="3" customWidth="1"/>
    <col min="15101" max="15101" width="14.5703125" style="3" customWidth="1"/>
    <col min="15102" max="15105" width="16.85546875" style="3" customWidth="1"/>
    <col min="15106" max="15106" width="17.140625" style="3" customWidth="1"/>
    <col min="15107" max="15111" width="0" style="3" hidden="1" customWidth="1"/>
    <col min="15112" max="15112" width="13.140625" style="3" bestFit="1" customWidth="1"/>
    <col min="15113" max="15113" width="16.140625" style="3" customWidth="1"/>
    <col min="15114" max="15346" width="9.140625" style="3"/>
    <col min="15347" max="15347" width="18.85546875" style="3" customWidth="1"/>
    <col min="15348" max="15348" width="28" style="3" customWidth="1"/>
    <col min="15349" max="15349" width="16.42578125" style="3" customWidth="1"/>
    <col min="15350" max="15350" width="0" style="3" hidden="1" customWidth="1"/>
    <col min="15351" max="15351" width="18.85546875" style="3" customWidth="1"/>
    <col min="15352" max="15352" width="18.140625" style="3" customWidth="1"/>
    <col min="15353" max="15353" width="17.7109375" style="3" customWidth="1"/>
    <col min="15354" max="15354" width="18" style="3" customWidth="1"/>
    <col min="15355" max="15355" width="0" style="3" hidden="1" customWidth="1"/>
    <col min="15356" max="15356" width="17.42578125" style="3" customWidth="1"/>
    <col min="15357" max="15357" width="14.5703125" style="3" customWidth="1"/>
    <col min="15358" max="15361" width="16.85546875" style="3" customWidth="1"/>
    <col min="15362" max="15362" width="17.140625" style="3" customWidth="1"/>
    <col min="15363" max="15367" width="0" style="3" hidden="1" customWidth="1"/>
    <col min="15368" max="15368" width="13.140625" style="3" bestFit="1" customWidth="1"/>
    <col min="15369" max="15369" width="16.140625" style="3" customWidth="1"/>
    <col min="15370" max="15602" width="9.140625" style="3"/>
    <col min="15603" max="15603" width="18.85546875" style="3" customWidth="1"/>
    <col min="15604" max="15604" width="28" style="3" customWidth="1"/>
    <col min="15605" max="15605" width="16.42578125" style="3" customWidth="1"/>
    <col min="15606" max="15606" width="0" style="3" hidden="1" customWidth="1"/>
    <col min="15607" max="15607" width="18.85546875" style="3" customWidth="1"/>
    <col min="15608" max="15608" width="18.140625" style="3" customWidth="1"/>
    <col min="15609" max="15609" width="17.7109375" style="3" customWidth="1"/>
    <col min="15610" max="15610" width="18" style="3" customWidth="1"/>
    <col min="15611" max="15611" width="0" style="3" hidden="1" customWidth="1"/>
    <col min="15612" max="15612" width="17.42578125" style="3" customWidth="1"/>
    <col min="15613" max="15613" width="14.5703125" style="3" customWidth="1"/>
    <col min="15614" max="15617" width="16.85546875" style="3" customWidth="1"/>
    <col min="15618" max="15618" width="17.140625" style="3" customWidth="1"/>
    <col min="15619" max="15623" width="0" style="3" hidden="1" customWidth="1"/>
    <col min="15624" max="15624" width="13.140625" style="3" bestFit="1" customWidth="1"/>
    <col min="15625" max="15625" width="16.140625" style="3" customWidth="1"/>
    <col min="15626" max="15858" width="9.140625" style="3"/>
    <col min="15859" max="15859" width="18.85546875" style="3" customWidth="1"/>
    <col min="15860" max="15860" width="28" style="3" customWidth="1"/>
    <col min="15861" max="15861" width="16.42578125" style="3" customWidth="1"/>
    <col min="15862" max="15862" width="0" style="3" hidden="1" customWidth="1"/>
    <col min="15863" max="15863" width="18.85546875" style="3" customWidth="1"/>
    <col min="15864" max="15864" width="18.140625" style="3" customWidth="1"/>
    <col min="15865" max="15865" width="17.7109375" style="3" customWidth="1"/>
    <col min="15866" max="15866" width="18" style="3" customWidth="1"/>
    <col min="15867" max="15867" width="0" style="3" hidden="1" customWidth="1"/>
    <col min="15868" max="15868" width="17.42578125" style="3" customWidth="1"/>
    <col min="15869" max="15869" width="14.5703125" style="3" customWidth="1"/>
    <col min="15870" max="15873" width="16.85546875" style="3" customWidth="1"/>
    <col min="15874" max="15874" width="17.140625" style="3" customWidth="1"/>
    <col min="15875" max="15879" width="0" style="3" hidden="1" customWidth="1"/>
    <col min="15880" max="15880" width="13.140625" style="3" bestFit="1" customWidth="1"/>
    <col min="15881" max="15881" width="16.140625" style="3" customWidth="1"/>
    <col min="15882" max="16114" width="9.140625" style="3"/>
    <col min="16115" max="16115" width="18.85546875" style="3" customWidth="1"/>
    <col min="16116" max="16116" width="28" style="3" customWidth="1"/>
    <col min="16117" max="16117" width="16.42578125" style="3" customWidth="1"/>
    <col min="16118" max="16118" width="0" style="3" hidden="1" customWidth="1"/>
    <col min="16119" max="16119" width="18.85546875" style="3" customWidth="1"/>
    <col min="16120" max="16120" width="18.140625" style="3" customWidth="1"/>
    <col min="16121" max="16121" width="17.7109375" style="3" customWidth="1"/>
    <col min="16122" max="16122" width="18" style="3" customWidth="1"/>
    <col min="16123" max="16123" width="0" style="3" hidden="1" customWidth="1"/>
    <col min="16124" max="16124" width="17.42578125" style="3" customWidth="1"/>
    <col min="16125" max="16125" width="14.5703125" style="3" customWidth="1"/>
    <col min="16126" max="16129" width="16.85546875" style="3" customWidth="1"/>
    <col min="16130" max="16130" width="17.140625" style="3" customWidth="1"/>
    <col min="16131" max="16135" width="0" style="3" hidden="1" customWidth="1"/>
    <col min="16136" max="16136" width="13.140625" style="3" bestFit="1" customWidth="1"/>
    <col min="16137" max="16137" width="16.140625" style="3" customWidth="1"/>
    <col min="16138" max="16384" width="9.140625" style="3"/>
  </cols>
  <sheetData>
    <row r="1" spans="1:16" s="30" customFormat="1" ht="25.5" customHeight="1" x14ac:dyDescent="0.3">
      <c r="A1" s="251" t="s">
        <v>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s="30" customFormat="1" ht="28.5" customHeight="1" x14ac:dyDescent="0.3">
      <c r="A2" s="251" t="s">
        <v>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s="30" customFormat="1" ht="27" customHeight="1" x14ac:dyDescent="0.3">
      <c r="A3" s="251" t="s">
        <v>124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s="30" customFormat="1" ht="15" customHeight="1" thickBot="1" x14ac:dyDescent="0.3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ht="75" customHeight="1" x14ac:dyDescent="0.25">
      <c r="A5" s="252" t="s">
        <v>0</v>
      </c>
      <c r="B5" s="255" t="s">
        <v>8</v>
      </c>
      <c r="C5" s="255" t="s">
        <v>101</v>
      </c>
      <c r="D5" s="257" t="s">
        <v>130</v>
      </c>
      <c r="E5" s="257"/>
      <c r="F5" s="257"/>
      <c r="G5" s="257"/>
      <c r="H5" s="257"/>
      <c r="I5" s="257" t="s">
        <v>131</v>
      </c>
      <c r="J5" s="257"/>
      <c r="K5" s="257"/>
      <c r="L5" s="257"/>
      <c r="M5" s="262" t="s">
        <v>55</v>
      </c>
      <c r="N5" s="262"/>
      <c r="O5" s="262"/>
      <c r="P5" s="263"/>
    </row>
    <row r="6" spans="1:16" ht="78.75" x14ac:dyDescent="0.25">
      <c r="A6" s="253"/>
      <c r="B6" s="256"/>
      <c r="C6" s="256"/>
      <c r="D6" s="4" t="s">
        <v>13</v>
      </c>
      <c r="E6" s="5" t="s">
        <v>14</v>
      </c>
      <c r="F6" s="264" t="s">
        <v>15</v>
      </c>
      <c r="G6" s="266" t="s">
        <v>16</v>
      </c>
      <c r="H6" s="267" t="s">
        <v>17</v>
      </c>
      <c r="I6" s="4" t="s">
        <v>18</v>
      </c>
      <c r="J6" s="264" t="s">
        <v>15</v>
      </c>
      <c r="K6" s="266" t="s">
        <v>16</v>
      </c>
      <c r="L6" s="267" t="s">
        <v>17</v>
      </c>
      <c r="M6" s="4" t="s">
        <v>102</v>
      </c>
      <c r="N6" s="231" t="s">
        <v>10</v>
      </c>
      <c r="O6" s="231" t="s">
        <v>11</v>
      </c>
      <c r="P6" s="279" t="s">
        <v>12</v>
      </c>
    </row>
    <row r="7" spans="1:16" x14ac:dyDescent="0.25">
      <c r="A7" s="254"/>
      <c r="B7" s="256"/>
      <c r="C7" s="256"/>
      <c r="D7" s="231" t="s">
        <v>19</v>
      </c>
      <c r="E7" s="105" t="s">
        <v>19</v>
      </c>
      <c r="F7" s="265"/>
      <c r="G7" s="256"/>
      <c r="H7" s="268"/>
      <c r="I7" s="231" t="s">
        <v>19</v>
      </c>
      <c r="J7" s="265"/>
      <c r="K7" s="256"/>
      <c r="L7" s="268"/>
      <c r="M7" s="231" t="s">
        <v>19</v>
      </c>
      <c r="N7" s="66"/>
      <c r="O7" s="66"/>
      <c r="P7" s="280"/>
    </row>
    <row r="8" spans="1:16" s="22" customFormat="1" ht="16.5" thickBot="1" x14ac:dyDescent="0.3">
      <c r="A8" s="229">
        <v>1</v>
      </c>
      <c r="B8" s="231">
        <v>2</v>
      </c>
      <c r="C8" s="231">
        <v>3</v>
      </c>
      <c r="D8" s="231">
        <v>4</v>
      </c>
      <c r="E8" s="105"/>
      <c r="F8" s="230">
        <v>5</v>
      </c>
      <c r="G8" s="231">
        <v>6</v>
      </c>
      <c r="H8" s="232">
        <v>7</v>
      </c>
      <c r="I8" s="231">
        <v>8</v>
      </c>
      <c r="J8" s="230">
        <v>9</v>
      </c>
      <c r="K8" s="231">
        <v>10</v>
      </c>
      <c r="L8" s="232">
        <v>11</v>
      </c>
      <c r="M8" s="231">
        <v>12</v>
      </c>
      <c r="N8" s="231">
        <v>13</v>
      </c>
      <c r="O8" s="231">
        <v>14</v>
      </c>
      <c r="P8" s="233">
        <v>15</v>
      </c>
    </row>
    <row r="9" spans="1:16" ht="16.5" thickBot="1" x14ac:dyDescent="0.3">
      <c r="A9" s="259" t="s">
        <v>129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</row>
    <row r="10" spans="1:16" x14ac:dyDescent="0.25">
      <c r="A10" s="290" t="s">
        <v>98</v>
      </c>
      <c r="B10" s="284" t="s">
        <v>132</v>
      </c>
      <c r="C10" s="182" t="s">
        <v>44</v>
      </c>
      <c r="D10" s="183">
        <v>727478</v>
      </c>
      <c r="E10" s="184"/>
      <c r="F10" s="185">
        <f>G10/D10</f>
        <v>2.3366799981121997</v>
      </c>
      <c r="G10" s="186">
        <f>2039859.95/1.2</f>
        <v>1699883.2916666667</v>
      </c>
      <c r="H10" s="186">
        <f>G10*1.2</f>
        <v>2039859.95</v>
      </c>
      <c r="I10" s="183">
        <v>476146</v>
      </c>
      <c r="J10" s="187">
        <f>K10/I10</f>
        <v>2.2718599967236939</v>
      </c>
      <c r="K10" s="186">
        <f>1298084.46/1.2</f>
        <v>1081737.05</v>
      </c>
      <c r="L10" s="186">
        <f t="shared" ref="L10:L15" si="0">K10*1.2</f>
        <v>1298084.46</v>
      </c>
      <c r="M10" s="188">
        <f t="shared" ref="M10:M15" si="1">D10+I10</f>
        <v>1203624</v>
      </c>
      <c r="N10" s="189">
        <f t="shared" ref="N10:N15" si="2">G10+K10</f>
        <v>2781620.3416666668</v>
      </c>
      <c r="O10" s="189">
        <f t="shared" ref="O10:O15" si="3">P10-N10</f>
        <v>556324.06833333336</v>
      </c>
      <c r="P10" s="190">
        <f t="shared" ref="P10:P15" si="4">ROUND(L10+H10,2)</f>
        <v>3337944.41</v>
      </c>
    </row>
    <row r="11" spans="1:16" ht="19.5" customHeight="1" x14ac:dyDescent="0.25">
      <c r="A11" s="291"/>
      <c r="B11" s="285"/>
      <c r="C11" s="235" t="s">
        <v>50</v>
      </c>
      <c r="D11" s="67">
        <v>3022</v>
      </c>
      <c r="E11" s="8"/>
      <c r="F11" s="68">
        <f>G11/D11</f>
        <v>2.3366810059563203</v>
      </c>
      <c r="G11" s="23">
        <f>8473.74/1.2</f>
        <v>7061.45</v>
      </c>
      <c r="H11" s="23">
        <f>G11*1.2</f>
        <v>8473.74</v>
      </c>
      <c r="I11" s="67">
        <v>1978</v>
      </c>
      <c r="J11" s="174">
        <f>K11/I11</f>
        <v>2.2718613077182339</v>
      </c>
      <c r="K11" s="23">
        <f>5392.49/1.2</f>
        <v>4493.7416666666668</v>
      </c>
      <c r="L11" s="23">
        <f t="shared" si="0"/>
        <v>5392.49</v>
      </c>
      <c r="M11" s="108">
        <f t="shared" si="1"/>
        <v>5000</v>
      </c>
      <c r="N11" s="109">
        <f t="shared" si="2"/>
        <v>11555.191666666666</v>
      </c>
      <c r="O11" s="109">
        <f t="shared" si="3"/>
        <v>2311.0383333333339</v>
      </c>
      <c r="P11" s="101">
        <f t="shared" si="4"/>
        <v>13866.23</v>
      </c>
    </row>
    <row r="12" spans="1:16" x14ac:dyDescent="0.25">
      <c r="A12" s="286" t="s">
        <v>99</v>
      </c>
      <c r="B12" s="283" t="s">
        <v>133</v>
      </c>
      <c r="C12" s="235" t="s">
        <v>44</v>
      </c>
      <c r="D12" s="141">
        <v>644037</v>
      </c>
      <c r="E12" s="237"/>
      <c r="F12" s="143">
        <f t="shared" ref="F12:F36" si="5">G12/D12</f>
        <v>2.415219997712347</v>
      </c>
      <c r="G12" s="144">
        <f>1866589.25/1.2</f>
        <v>1555491.0416666667</v>
      </c>
      <c r="H12" s="23">
        <f t="shared" ref="H12:H36" si="6">G12*1.2</f>
        <v>1866589.25</v>
      </c>
      <c r="I12" s="141">
        <v>51629</v>
      </c>
      <c r="J12" s="174">
        <f t="shared" ref="J12:J13" si="7">K12/I12</f>
        <v>2.3503999690096653</v>
      </c>
      <c r="K12" s="144">
        <f>145618.56/1.2</f>
        <v>121348.8</v>
      </c>
      <c r="L12" s="144">
        <f t="shared" si="0"/>
        <v>145618.56</v>
      </c>
      <c r="M12" s="118">
        <f t="shared" si="1"/>
        <v>695666</v>
      </c>
      <c r="N12" s="13">
        <f t="shared" si="2"/>
        <v>1676839.8416666668</v>
      </c>
      <c r="O12" s="13">
        <f t="shared" si="3"/>
        <v>335367.96833333327</v>
      </c>
      <c r="P12" s="96">
        <f t="shared" si="4"/>
        <v>2012207.81</v>
      </c>
    </row>
    <row r="13" spans="1:16" ht="20.25" customHeight="1" x14ac:dyDescent="0.25">
      <c r="A13" s="288"/>
      <c r="B13" s="283"/>
      <c r="C13" s="235" t="s">
        <v>50</v>
      </c>
      <c r="D13" s="178">
        <v>463</v>
      </c>
      <c r="E13" s="71"/>
      <c r="F13" s="180">
        <f>G13/D13</f>
        <v>2.4152267818574518</v>
      </c>
      <c r="G13" s="24">
        <f>1341.9/1.2</f>
        <v>1118.2500000000002</v>
      </c>
      <c r="H13" s="23">
        <f t="shared" si="6"/>
        <v>1341.9000000000003</v>
      </c>
      <c r="I13" s="178">
        <v>37</v>
      </c>
      <c r="J13" s="174">
        <f t="shared" si="7"/>
        <v>2.3504504504504506</v>
      </c>
      <c r="K13" s="24">
        <f>104.36/1.2</f>
        <v>86.966666666666669</v>
      </c>
      <c r="L13" s="24">
        <f t="shared" si="0"/>
        <v>104.36</v>
      </c>
      <c r="M13" s="12">
        <f t="shared" si="1"/>
        <v>500</v>
      </c>
      <c r="N13" s="119">
        <f t="shared" si="2"/>
        <v>1205.2166666666669</v>
      </c>
      <c r="O13" s="119">
        <f t="shared" si="3"/>
        <v>241.04333333333307</v>
      </c>
      <c r="P13" s="120">
        <f t="shared" si="4"/>
        <v>1446.26</v>
      </c>
    </row>
    <row r="14" spans="1:16" x14ac:dyDescent="0.25">
      <c r="A14" s="286" t="s">
        <v>100</v>
      </c>
      <c r="B14" s="281" t="s">
        <v>134</v>
      </c>
      <c r="C14" s="235" t="s">
        <v>44</v>
      </c>
      <c r="D14" s="141">
        <v>665023</v>
      </c>
      <c r="E14" s="208"/>
      <c r="F14" s="143">
        <f t="shared" si="5"/>
        <v>2.3487800046013447</v>
      </c>
      <c r="G14" s="144">
        <f>1874391.27/1.2</f>
        <v>1561992.7250000001</v>
      </c>
      <c r="H14" s="23">
        <f t="shared" si="6"/>
        <v>1874391.27</v>
      </c>
      <c r="I14" s="141">
        <v>1073088</v>
      </c>
      <c r="J14" s="175">
        <f t="shared" ref="J14:J25" si="8">K14/I14</f>
        <v>2.283959998310173</v>
      </c>
      <c r="K14" s="144">
        <f>2941068.08/1.2</f>
        <v>2450890.0666666669</v>
      </c>
      <c r="L14" s="144">
        <f t="shared" si="0"/>
        <v>2941068.08</v>
      </c>
      <c r="M14" s="177">
        <f t="shared" si="1"/>
        <v>1738111</v>
      </c>
      <c r="N14" s="119">
        <f t="shared" si="2"/>
        <v>4012882.791666667</v>
      </c>
      <c r="O14" s="119">
        <f t="shared" si="3"/>
        <v>802576.55833333265</v>
      </c>
      <c r="P14" s="120">
        <f t="shared" si="4"/>
        <v>4815459.3499999996</v>
      </c>
    </row>
    <row r="15" spans="1:16" ht="21" customHeight="1" thickBot="1" x14ac:dyDescent="0.3">
      <c r="A15" s="292"/>
      <c r="B15" s="281"/>
      <c r="C15" s="191" t="s">
        <v>50</v>
      </c>
      <c r="D15" s="192">
        <v>5277</v>
      </c>
      <c r="E15" s="146"/>
      <c r="F15" s="193">
        <f>G15/D15</f>
        <v>2.3487792937906637</v>
      </c>
      <c r="G15" s="116">
        <f>14873.41/1.2</f>
        <v>12394.508333333333</v>
      </c>
      <c r="H15" s="116">
        <f t="shared" si="6"/>
        <v>14873.41</v>
      </c>
      <c r="I15" s="192">
        <v>8514</v>
      </c>
      <c r="J15" s="194">
        <f t="shared" si="8"/>
        <v>2.2839597525644035</v>
      </c>
      <c r="K15" s="116">
        <f>23334.76/1.2</f>
        <v>19445.633333333331</v>
      </c>
      <c r="L15" s="116">
        <f t="shared" si="0"/>
        <v>23334.76</v>
      </c>
      <c r="M15" s="118">
        <f t="shared" si="1"/>
        <v>13791</v>
      </c>
      <c r="N15" s="119">
        <f t="shared" si="2"/>
        <v>31840.141666666663</v>
      </c>
      <c r="O15" s="119">
        <f t="shared" si="3"/>
        <v>6368.0283333333355</v>
      </c>
      <c r="P15" s="120">
        <f t="shared" si="4"/>
        <v>38208.17</v>
      </c>
    </row>
    <row r="16" spans="1:16" s="30" customFormat="1" ht="16.5" thickBot="1" x14ac:dyDescent="0.3">
      <c r="A16" s="130" t="s">
        <v>125</v>
      </c>
      <c r="B16" s="131"/>
      <c r="C16" s="131"/>
      <c r="D16" s="132">
        <f>SUM(D10:E15)</f>
        <v>2045300</v>
      </c>
      <c r="E16" s="132" t="e">
        <f>#REF!+E12+E14</f>
        <v>#REF!</v>
      </c>
      <c r="F16" s="196">
        <f>G16/D16</f>
        <v>2.3653944490620771</v>
      </c>
      <c r="G16" s="133">
        <f>SUM(G10:G15)</f>
        <v>4837941.2666666666</v>
      </c>
      <c r="H16" s="133">
        <f>SUM(H10:H15)</f>
        <v>5805529.5199999996</v>
      </c>
      <c r="I16" s="132">
        <f>SUM(I10:I15)</f>
        <v>1611392</v>
      </c>
      <c r="J16" s="196">
        <f t="shared" si="8"/>
        <v>2.2825000113773268</v>
      </c>
      <c r="K16" s="133">
        <f>SUM(K10:K15)</f>
        <v>3678002.2583333333</v>
      </c>
      <c r="L16" s="133">
        <f>SUM(L10:L15)</f>
        <v>4413602.71</v>
      </c>
      <c r="M16" s="132">
        <f>SUM(M10:M15)</f>
        <v>3656692</v>
      </c>
      <c r="N16" s="133">
        <f>SUM(N10:N15)</f>
        <v>8515943.5250000004</v>
      </c>
      <c r="O16" s="133">
        <f>SUM(O10:O15)</f>
        <v>1703188.7049999991</v>
      </c>
      <c r="P16" s="134">
        <f>SUM(P10:P15)</f>
        <v>10219132.229999999</v>
      </c>
    </row>
    <row r="17" spans="1:16" outlineLevel="2" x14ac:dyDescent="0.25">
      <c r="A17" s="289" t="s">
        <v>103</v>
      </c>
      <c r="B17" s="284" t="s">
        <v>135</v>
      </c>
      <c r="C17" s="236" t="str">
        <f t="shared" ref="C17:C22" si="9">C10</f>
        <v>потери</v>
      </c>
      <c r="D17" s="67">
        <v>595551</v>
      </c>
      <c r="E17" s="238"/>
      <c r="F17" s="68">
        <f t="shared" si="5"/>
        <v>2.7084100130243534</v>
      </c>
      <c r="G17" s="23">
        <f>1935595.55/1.2</f>
        <v>1612996.2916666667</v>
      </c>
      <c r="H17" s="23">
        <f t="shared" si="6"/>
        <v>1935595.55</v>
      </c>
      <c r="I17" s="67">
        <v>145184</v>
      </c>
      <c r="J17" s="68">
        <f t="shared" si="8"/>
        <v>2.6435899731834547</v>
      </c>
      <c r="K17" s="23">
        <f>460568.36/1.2</f>
        <v>383806.96666666667</v>
      </c>
      <c r="L17" s="23">
        <f t="shared" ref="L17:L22" si="10">K17*1.2</f>
        <v>460568.36</v>
      </c>
      <c r="M17" s="108">
        <f t="shared" ref="M17:M22" si="11">D17+I17</f>
        <v>740735</v>
      </c>
      <c r="N17" s="109">
        <f t="shared" ref="N17:N22" si="12">G17+K17</f>
        <v>1996803.2583333333</v>
      </c>
      <c r="O17" s="109">
        <f t="shared" ref="O17:O22" si="13">P17-N17</f>
        <v>399360.65166666685</v>
      </c>
      <c r="P17" s="101">
        <f t="shared" ref="P17:P22" si="14">L17+H17</f>
        <v>2396163.91</v>
      </c>
    </row>
    <row r="18" spans="1:16" ht="25.5" outlineLevel="2" x14ac:dyDescent="0.25">
      <c r="A18" s="288"/>
      <c r="B18" s="281"/>
      <c r="C18" s="236" t="str">
        <f t="shared" si="9"/>
        <v>бездоговорное потребление</v>
      </c>
      <c r="D18" s="67">
        <v>6049</v>
      </c>
      <c r="E18" s="238"/>
      <c r="F18" s="68">
        <f t="shared" si="5"/>
        <v>2.7084091034330742</v>
      </c>
      <c r="G18" s="23">
        <f>19659.8/1.2</f>
        <v>16383.166666666666</v>
      </c>
      <c r="H18" s="23">
        <f t="shared" si="6"/>
        <v>19659.8</v>
      </c>
      <c r="I18" s="67">
        <v>1276</v>
      </c>
      <c r="J18" s="68">
        <f t="shared" si="8"/>
        <v>2.6435932601880876</v>
      </c>
      <c r="K18" s="23">
        <f>4047.87/1.2</f>
        <v>3373.2249999999999</v>
      </c>
      <c r="L18" s="23">
        <f t="shared" si="10"/>
        <v>4047.87</v>
      </c>
      <c r="M18" s="108">
        <f t="shared" si="11"/>
        <v>7325</v>
      </c>
      <c r="N18" s="109">
        <f t="shared" si="12"/>
        <v>19756.391666666666</v>
      </c>
      <c r="O18" s="109">
        <f t="shared" si="13"/>
        <v>3951.2783333333318</v>
      </c>
      <c r="P18" s="101">
        <f t="shared" si="14"/>
        <v>23707.67</v>
      </c>
    </row>
    <row r="19" spans="1:16" outlineLevel="2" x14ac:dyDescent="0.25">
      <c r="A19" s="286" t="s">
        <v>1</v>
      </c>
      <c r="B19" s="283" t="s">
        <v>136</v>
      </c>
      <c r="C19" s="236" t="str">
        <f t="shared" si="9"/>
        <v>потери</v>
      </c>
      <c r="D19" s="67">
        <v>541400</v>
      </c>
      <c r="E19" s="71"/>
      <c r="F19" s="68">
        <f t="shared" si="5"/>
        <v>2.0783699975372492</v>
      </c>
      <c r="G19" s="23">
        <f>1350275.42/1.2</f>
        <v>1125229.5166666666</v>
      </c>
      <c r="H19" s="23">
        <f t="shared" si="6"/>
        <v>1350275.42</v>
      </c>
      <c r="I19" s="67">
        <v>309488</v>
      </c>
      <c r="J19" s="68">
        <f t="shared" si="8"/>
        <v>2.0135499868600184</v>
      </c>
      <c r="K19" s="23">
        <f>747803.47/1.2</f>
        <v>623169.55833333335</v>
      </c>
      <c r="L19" s="24">
        <f t="shared" si="10"/>
        <v>747803.47</v>
      </c>
      <c r="M19" s="12">
        <f t="shared" si="11"/>
        <v>850888</v>
      </c>
      <c r="N19" s="13">
        <f t="shared" si="12"/>
        <v>1748399.075</v>
      </c>
      <c r="O19" s="13">
        <f t="shared" si="13"/>
        <v>349679.81499999971</v>
      </c>
      <c r="P19" s="96">
        <f t="shared" si="14"/>
        <v>2098078.8899999997</v>
      </c>
    </row>
    <row r="20" spans="1:16" ht="25.5" outlineLevel="2" x14ac:dyDescent="0.25">
      <c r="A20" s="288"/>
      <c r="B20" s="283"/>
      <c r="C20" s="234" t="str">
        <f t="shared" si="9"/>
        <v>бездоговорное потребление</v>
      </c>
      <c r="D20" s="178">
        <v>0</v>
      </c>
      <c r="E20" s="71"/>
      <c r="F20" s="180" t="s">
        <v>4</v>
      </c>
      <c r="G20" s="24">
        <v>0</v>
      </c>
      <c r="H20" s="23">
        <f t="shared" si="6"/>
        <v>0</v>
      </c>
      <c r="I20" s="178">
        <v>0</v>
      </c>
      <c r="J20" s="180" t="s">
        <v>4</v>
      </c>
      <c r="K20" s="24">
        <v>0</v>
      </c>
      <c r="L20" s="116">
        <f t="shared" si="10"/>
        <v>0</v>
      </c>
      <c r="M20" s="118">
        <f t="shared" si="11"/>
        <v>0</v>
      </c>
      <c r="N20" s="119">
        <f t="shared" si="12"/>
        <v>0</v>
      </c>
      <c r="O20" s="119">
        <f t="shared" si="13"/>
        <v>0</v>
      </c>
      <c r="P20" s="120">
        <f t="shared" si="14"/>
        <v>0</v>
      </c>
    </row>
    <row r="21" spans="1:16" outlineLevel="2" x14ac:dyDescent="0.25">
      <c r="A21" s="286" t="s">
        <v>104</v>
      </c>
      <c r="B21" s="281" t="s">
        <v>137</v>
      </c>
      <c r="C21" s="235" t="str">
        <f t="shared" si="9"/>
        <v>потери</v>
      </c>
      <c r="D21" s="178">
        <v>439745</v>
      </c>
      <c r="E21" s="71"/>
      <c r="F21" s="180">
        <f t="shared" si="5"/>
        <v>2.0279399993177867</v>
      </c>
      <c r="G21" s="24">
        <f>1070131.77/1.2</f>
        <v>891776.47500000009</v>
      </c>
      <c r="H21" s="23">
        <f t="shared" si="6"/>
        <v>1070131.77</v>
      </c>
      <c r="I21" s="178">
        <v>12376</v>
      </c>
      <c r="J21" s="180">
        <f t="shared" si="8"/>
        <v>1.9631201519069166</v>
      </c>
      <c r="K21" s="24">
        <f>29154.69/1.2</f>
        <v>24295.575000000001</v>
      </c>
      <c r="L21" s="116">
        <f t="shared" si="10"/>
        <v>29154.69</v>
      </c>
      <c r="M21" s="118">
        <f t="shared" si="11"/>
        <v>452121</v>
      </c>
      <c r="N21" s="119">
        <f t="shared" si="12"/>
        <v>916072.05</v>
      </c>
      <c r="O21" s="119">
        <f t="shared" si="13"/>
        <v>183214.40999999992</v>
      </c>
      <c r="P21" s="120">
        <f t="shared" si="14"/>
        <v>1099286.46</v>
      </c>
    </row>
    <row r="22" spans="1:16" ht="18" customHeight="1" outlineLevel="2" thickBot="1" x14ac:dyDescent="0.3">
      <c r="A22" s="287"/>
      <c r="B22" s="282"/>
      <c r="C22" s="234" t="str">
        <f t="shared" si="9"/>
        <v>бездоговорное потребление</v>
      </c>
      <c r="D22" s="141">
        <v>955</v>
      </c>
      <c r="E22" s="208"/>
      <c r="F22" s="143">
        <f t="shared" si="5"/>
        <v>2.0279406631762655</v>
      </c>
      <c r="G22" s="144">
        <f>2324.02/1.2</f>
        <v>1936.6833333333334</v>
      </c>
      <c r="H22" s="144">
        <f t="shared" si="6"/>
        <v>2324.02</v>
      </c>
      <c r="I22" s="141">
        <v>27</v>
      </c>
      <c r="J22" s="143">
        <f t="shared" si="8"/>
        <v>1.9632716049382717</v>
      </c>
      <c r="K22" s="144">
        <f>63.61/1.2</f>
        <v>53.008333333333333</v>
      </c>
      <c r="L22" s="116">
        <f t="shared" si="10"/>
        <v>63.61</v>
      </c>
      <c r="M22" s="118">
        <f t="shared" si="11"/>
        <v>982</v>
      </c>
      <c r="N22" s="119">
        <f t="shared" si="12"/>
        <v>1989.6916666666668</v>
      </c>
      <c r="O22" s="119">
        <f t="shared" si="13"/>
        <v>397.93833333333328</v>
      </c>
      <c r="P22" s="120">
        <f t="shared" si="14"/>
        <v>2387.63</v>
      </c>
    </row>
    <row r="23" spans="1:16" s="30" customFormat="1" ht="16.5" outlineLevel="2" thickBot="1" x14ac:dyDescent="0.3">
      <c r="A23" s="130" t="s">
        <v>126</v>
      </c>
      <c r="B23" s="131"/>
      <c r="C23" s="131"/>
      <c r="D23" s="132">
        <f>SUM(D17:D22)</f>
        <v>1583700</v>
      </c>
      <c r="E23" s="132">
        <f t="shared" ref="E23:L23" si="15">SUM(E17:E22)</f>
        <v>0</v>
      </c>
      <c r="F23" s="132"/>
      <c r="G23" s="133">
        <f t="shared" si="15"/>
        <v>3648322.1333333333</v>
      </c>
      <c r="H23" s="133">
        <f t="shared" si="15"/>
        <v>4377986.5599999996</v>
      </c>
      <c r="I23" s="132">
        <f t="shared" si="15"/>
        <v>468351</v>
      </c>
      <c r="J23" s="132"/>
      <c r="K23" s="133">
        <f t="shared" si="15"/>
        <v>1034698.3333333333</v>
      </c>
      <c r="L23" s="133">
        <f t="shared" si="15"/>
        <v>1241638</v>
      </c>
      <c r="M23" s="132">
        <f>SUM(M17:M22)</f>
        <v>2052051</v>
      </c>
      <c r="N23" s="133">
        <f>SUM(N17:N22)</f>
        <v>4683020.4666666659</v>
      </c>
      <c r="O23" s="133">
        <f>SUM(O17:O22)</f>
        <v>936604.09333333315</v>
      </c>
      <c r="P23" s="134">
        <f>SUM(P17:P22)</f>
        <v>5619624.5599999996</v>
      </c>
    </row>
    <row r="24" spans="1:16" s="1" customFormat="1" outlineLevel="1" x14ac:dyDescent="0.25">
      <c r="A24" s="289" t="s">
        <v>2</v>
      </c>
      <c r="B24" s="284" t="s">
        <v>138</v>
      </c>
      <c r="C24" s="236" t="str">
        <f t="shared" ref="C24:C29" si="16">C17</f>
        <v>потери</v>
      </c>
      <c r="D24" s="67">
        <v>423269</v>
      </c>
      <c r="E24" s="149"/>
      <c r="F24" s="68">
        <f t="shared" si="5"/>
        <v>2.0541399992282292</v>
      </c>
      <c r="G24" s="23">
        <f>1043344.54/1.2</f>
        <v>869453.78333333344</v>
      </c>
      <c r="H24" s="23">
        <f t="shared" si="6"/>
        <v>1043344.54</v>
      </c>
      <c r="I24" s="67">
        <v>45103</v>
      </c>
      <c r="J24" s="68">
        <f t="shared" si="8"/>
        <v>2.1535500225409989</v>
      </c>
      <c r="K24" s="23">
        <f>116557.88/1.2</f>
        <v>97131.56666666668</v>
      </c>
      <c r="L24" s="23">
        <f t="shared" ref="L24:L29" si="17">K24*1.2</f>
        <v>116557.88000000002</v>
      </c>
      <c r="M24" s="7">
        <f t="shared" ref="M24:M29" si="18">D24+I24</f>
        <v>468372</v>
      </c>
      <c r="N24" s="11">
        <f t="shared" ref="N24:N29" si="19">G24+K24</f>
        <v>966585.35000000009</v>
      </c>
      <c r="O24" s="109">
        <f>P24-N24</f>
        <v>193317.07000000007</v>
      </c>
      <c r="P24" s="101">
        <f t="shared" ref="P24:P29" si="20">L24+H24</f>
        <v>1159902.4200000002</v>
      </c>
    </row>
    <row r="25" spans="1:16" s="1" customFormat="1" ht="19.5" customHeight="1" outlineLevel="1" x14ac:dyDescent="0.25">
      <c r="A25" s="288"/>
      <c r="B25" s="285"/>
      <c r="C25" s="236" t="str">
        <f t="shared" si="16"/>
        <v>бездоговорное потребление</v>
      </c>
      <c r="D25" s="67">
        <v>115731</v>
      </c>
      <c r="E25" s="149"/>
      <c r="F25" s="68">
        <f t="shared" si="5"/>
        <v>2.0541399884214258</v>
      </c>
      <c r="G25" s="23">
        <f>285273.21/1.2</f>
        <v>237727.67500000002</v>
      </c>
      <c r="H25" s="23">
        <f t="shared" si="6"/>
        <v>285273.21000000002</v>
      </c>
      <c r="I25" s="67">
        <v>12332</v>
      </c>
      <c r="J25" s="68">
        <f t="shared" si="8"/>
        <v>2.1535497080765489</v>
      </c>
      <c r="K25" s="23">
        <f>31869.09/1.2</f>
        <v>26557.575000000001</v>
      </c>
      <c r="L25" s="23">
        <f t="shared" si="17"/>
        <v>31869.09</v>
      </c>
      <c r="M25" s="7">
        <f t="shared" si="18"/>
        <v>128063</v>
      </c>
      <c r="N25" s="11">
        <f t="shared" si="19"/>
        <v>264285.25</v>
      </c>
      <c r="O25" s="109">
        <f>P25-N25</f>
        <v>52857.050000000047</v>
      </c>
      <c r="P25" s="101">
        <f t="shared" si="20"/>
        <v>317142.30000000005</v>
      </c>
    </row>
    <row r="26" spans="1:16" outlineLevel="1" x14ac:dyDescent="0.25">
      <c r="A26" s="286" t="s">
        <v>3</v>
      </c>
      <c r="B26" s="283" t="s">
        <v>139</v>
      </c>
      <c r="C26" s="235" t="str">
        <f t="shared" si="16"/>
        <v>потери</v>
      </c>
      <c r="D26" s="67">
        <v>537027</v>
      </c>
      <c r="E26" s="72"/>
      <c r="F26" s="68">
        <f t="shared" si="5"/>
        <v>2.1018900042890456</v>
      </c>
      <c r="G26" s="23">
        <f>1354526.02/1.2</f>
        <v>1128771.6833333333</v>
      </c>
      <c r="H26" s="23">
        <f t="shared" si="6"/>
        <v>1354526.02</v>
      </c>
      <c r="I26" s="67">
        <v>133490</v>
      </c>
      <c r="J26" s="68">
        <f>K26/I26</f>
        <v>2.2012999725322748</v>
      </c>
      <c r="K26" s="23">
        <f>352621.84/1.2</f>
        <v>293851.53333333338</v>
      </c>
      <c r="L26" s="24">
        <f t="shared" si="17"/>
        <v>352621.84</v>
      </c>
      <c r="M26" s="12">
        <f t="shared" si="18"/>
        <v>670517</v>
      </c>
      <c r="N26" s="13">
        <f t="shared" si="19"/>
        <v>1422623.2166666668</v>
      </c>
      <c r="O26" s="13">
        <f t="shared" ref="O26:O36" si="21">P26-N26</f>
        <v>284524.64333333331</v>
      </c>
      <c r="P26" s="96">
        <f t="shared" si="20"/>
        <v>1707147.86</v>
      </c>
    </row>
    <row r="27" spans="1:16" ht="18.75" customHeight="1" outlineLevel="1" x14ac:dyDescent="0.25">
      <c r="A27" s="288"/>
      <c r="B27" s="283"/>
      <c r="C27" s="235" t="str">
        <f t="shared" si="16"/>
        <v>бездоговорное потребление</v>
      </c>
      <c r="D27" s="178">
        <v>4373</v>
      </c>
      <c r="E27" s="147"/>
      <c r="F27" s="68">
        <f t="shared" si="5"/>
        <v>2.1018903879868889</v>
      </c>
      <c r="G27" s="24">
        <f>11029.88/1.2</f>
        <v>9191.5666666666657</v>
      </c>
      <c r="H27" s="23">
        <f t="shared" si="6"/>
        <v>11029.88</v>
      </c>
      <c r="I27" s="178">
        <v>1087</v>
      </c>
      <c r="J27" s="68">
        <f>K27/I27</f>
        <v>2.2013032812020854</v>
      </c>
      <c r="K27" s="24">
        <f>2871.38/1.2</f>
        <v>2392.8166666666671</v>
      </c>
      <c r="L27" s="116">
        <f t="shared" si="17"/>
        <v>2871.3800000000006</v>
      </c>
      <c r="M27" s="12">
        <f t="shared" si="18"/>
        <v>5460</v>
      </c>
      <c r="N27" s="13">
        <f t="shared" si="19"/>
        <v>11584.383333333333</v>
      </c>
      <c r="O27" s="119">
        <f>P27-N27</f>
        <v>2316.876666666667</v>
      </c>
      <c r="P27" s="120">
        <f t="shared" si="20"/>
        <v>13901.26</v>
      </c>
    </row>
    <row r="28" spans="1:16" outlineLevel="1" x14ac:dyDescent="0.25">
      <c r="A28" s="286" t="s">
        <v>105</v>
      </c>
      <c r="B28" s="281" t="s">
        <v>140</v>
      </c>
      <c r="C28" s="235" t="str">
        <f t="shared" si="16"/>
        <v>потери</v>
      </c>
      <c r="D28" s="178">
        <v>565113</v>
      </c>
      <c r="E28" s="147"/>
      <c r="F28" s="68">
        <f t="shared" si="5"/>
        <v>2.1397200058513373</v>
      </c>
      <c r="G28" s="24">
        <f>1451020.31/1.2</f>
        <v>1209183.5916666668</v>
      </c>
      <c r="H28" s="23">
        <f t="shared" si="6"/>
        <v>1451020.31</v>
      </c>
      <c r="I28" s="178">
        <v>472472</v>
      </c>
      <c r="J28" s="180">
        <f>K28/I28</f>
        <v>2.2391299907719402</v>
      </c>
      <c r="K28" s="24">
        <f>1269511.47/1.2</f>
        <v>1057926.2250000001</v>
      </c>
      <c r="L28" s="116">
        <f t="shared" si="17"/>
        <v>1269511.47</v>
      </c>
      <c r="M28" s="12">
        <f t="shared" si="18"/>
        <v>1037585</v>
      </c>
      <c r="N28" s="13">
        <f t="shared" si="19"/>
        <v>2267109.8166666669</v>
      </c>
      <c r="O28" s="119">
        <f>P28-N28</f>
        <v>453421.96333333338</v>
      </c>
      <c r="P28" s="120">
        <f t="shared" si="20"/>
        <v>2720531.7800000003</v>
      </c>
    </row>
    <row r="29" spans="1:16" ht="18" customHeight="1" outlineLevel="1" thickBot="1" x14ac:dyDescent="0.3">
      <c r="A29" s="287"/>
      <c r="B29" s="282"/>
      <c r="C29" s="234" t="str">
        <f t="shared" si="16"/>
        <v>бездоговорное потребление</v>
      </c>
      <c r="D29" s="141">
        <v>2087</v>
      </c>
      <c r="E29" s="147"/>
      <c r="F29" s="143">
        <f t="shared" si="5"/>
        <v>2.1397180961507747</v>
      </c>
      <c r="G29" s="144">
        <f>5358.71/1.2</f>
        <v>4465.5916666666672</v>
      </c>
      <c r="H29" s="116">
        <f t="shared" si="6"/>
        <v>5358.71</v>
      </c>
      <c r="I29" s="141">
        <v>1744</v>
      </c>
      <c r="J29" s="68">
        <f>K29/I29</f>
        <v>2.2391293960244649</v>
      </c>
      <c r="K29" s="144">
        <f>4686.05/1.2</f>
        <v>3905.041666666667</v>
      </c>
      <c r="L29" s="116">
        <f t="shared" si="17"/>
        <v>4686.05</v>
      </c>
      <c r="M29" s="118">
        <f t="shared" si="18"/>
        <v>3831</v>
      </c>
      <c r="N29" s="119">
        <f t="shared" si="19"/>
        <v>8370.633333333335</v>
      </c>
      <c r="O29" s="119">
        <f t="shared" si="21"/>
        <v>1674.1266666666652</v>
      </c>
      <c r="P29" s="120">
        <f t="shared" si="20"/>
        <v>10044.76</v>
      </c>
    </row>
    <row r="30" spans="1:16" s="30" customFormat="1" ht="16.5" outlineLevel="1" thickBot="1" x14ac:dyDescent="0.3">
      <c r="A30" s="130" t="s">
        <v>127</v>
      </c>
      <c r="B30" s="131"/>
      <c r="C30" s="131"/>
      <c r="D30" s="132">
        <f>D24+D26+D29+D25+D27+D28</f>
        <v>1647600</v>
      </c>
      <c r="E30" s="151"/>
      <c r="F30" s="152"/>
      <c r="G30" s="133">
        <f>G24+G26+G29+G25+G27+G28</f>
        <v>3458793.8916666671</v>
      </c>
      <c r="H30" s="133">
        <f>H24+H26+H29+H25+H27+H28</f>
        <v>4150552.67</v>
      </c>
      <c r="I30" s="132">
        <f>I24+I26+I29+I25+I27+I28</f>
        <v>666228</v>
      </c>
      <c r="J30" s="152"/>
      <c r="K30" s="133">
        <f>K24+K26+K29+K25+K27+K28</f>
        <v>1481764.7583333335</v>
      </c>
      <c r="L30" s="133">
        <f t="shared" ref="L30:P30" si="22">L24+L26+L29+L25+L27+L28</f>
        <v>1778117.71</v>
      </c>
      <c r="M30" s="133">
        <f t="shared" si="22"/>
        <v>2313828</v>
      </c>
      <c r="N30" s="133">
        <f t="shared" si="22"/>
        <v>4940558.6500000004</v>
      </c>
      <c r="O30" s="133">
        <f t="shared" si="22"/>
        <v>988111.73000000021</v>
      </c>
      <c r="P30" s="138">
        <f t="shared" si="22"/>
        <v>5928670.3799999999</v>
      </c>
    </row>
    <row r="31" spans="1:16" outlineLevel="1" x14ac:dyDescent="0.25">
      <c r="A31" s="289" t="s">
        <v>106</v>
      </c>
      <c r="B31" s="284" t="s">
        <v>141</v>
      </c>
      <c r="C31" s="236" t="str">
        <f t="shared" ref="C31:C36" si="23">C24</f>
        <v>потери</v>
      </c>
      <c r="D31" s="67">
        <f>601600-2193</f>
        <v>599407</v>
      </c>
      <c r="E31" s="150"/>
      <c r="F31" s="68">
        <f t="shared" si="5"/>
        <v>2.2223503534882534</v>
      </c>
      <c r="G31" s="23">
        <f>1598510.83/1.2</f>
        <v>1332092.3583333334</v>
      </c>
      <c r="H31" s="23">
        <f t="shared" si="6"/>
        <v>1598510.83</v>
      </c>
      <c r="I31" s="67">
        <f>828569-3021</f>
        <v>825548</v>
      </c>
      <c r="J31" s="68">
        <f t="shared" ref="J31:J36" si="24">K31/I31</f>
        <v>2.3217581836549783</v>
      </c>
      <c r="K31" s="23">
        <f>2300067.39/1.2</f>
        <v>1916722.8250000002</v>
      </c>
      <c r="L31" s="23">
        <f t="shared" ref="L31:L36" si="25">K31*1.2</f>
        <v>2300067.39</v>
      </c>
      <c r="M31" s="108">
        <f t="shared" ref="M31:M36" si="26">D31+I31</f>
        <v>1424955</v>
      </c>
      <c r="N31" s="109">
        <f t="shared" ref="N31:N36" si="27">G31+K31</f>
        <v>3248815.1833333336</v>
      </c>
      <c r="O31" s="109">
        <f t="shared" si="21"/>
        <v>649763.03666666662</v>
      </c>
      <c r="P31" s="101">
        <f t="shared" ref="P31:P36" si="28">L31+H31</f>
        <v>3898578.22</v>
      </c>
    </row>
    <row r="32" spans="1:16" ht="21" customHeight="1" outlineLevel="1" x14ac:dyDescent="0.25">
      <c r="A32" s="288"/>
      <c r="B32" s="285"/>
      <c r="C32" s="236" t="str">
        <f t="shared" si="23"/>
        <v>бездоговорное потребление</v>
      </c>
      <c r="D32" s="67">
        <v>2193</v>
      </c>
      <c r="E32" s="150"/>
      <c r="F32" s="68">
        <f t="shared" si="5"/>
        <v>2.2250000000000001</v>
      </c>
      <c r="G32" s="23">
        <f>5855.31/1.2</f>
        <v>4879.4250000000002</v>
      </c>
      <c r="H32" s="23">
        <f t="shared" si="6"/>
        <v>5855.31</v>
      </c>
      <c r="I32" s="67">
        <v>3021</v>
      </c>
      <c r="J32" s="68">
        <f t="shared" si="24"/>
        <v>2.3250000000000002</v>
      </c>
      <c r="K32" s="23">
        <f>8428.59/1.2</f>
        <v>7023.8250000000007</v>
      </c>
      <c r="L32" s="23">
        <f t="shared" si="25"/>
        <v>8428.59</v>
      </c>
      <c r="M32" s="108">
        <f t="shared" si="26"/>
        <v>5214</v>
      </c>
      <c r="N32" s="109">
        <f t="shared" si="27"/>
        <v>11903.25</v>
      </c>
      <c r="O32" s="109">
        <f>P32-N32</f>
        <v>2380.6500000000015</v>
      </c>
      <c r="P32" s="101">
        <f t="shared" si="28"/>
        <v>14283.900000000001</v>
      </c>
    </row>
    <row r="33" spans="1:16" outlineLevel="1" x14ac:dyDescent="0.25">
      <c r="A33" s="286" t="s">
        <v>107</v>
      </c>
      <c r="B33" s="283" t="s">
        <v>142</v>
      </c>
      <c r="C33" s="236" t="str">
        <f t="shared" si="23"/>
        <v>потери</v>
      </c>
      <c r="D33" s="67">
        <v>713134</v>
      </c>
      <c r="E33" s="72"/>
      <c r="F33" s="68">
        <f t="shared" si="5"/>
        <v>2.0873299992240821</v>
      </c>
      <c r="G33" s="23">
        <f>1786255.19/1.2</f>
        <v>1488545.9916666667</v>
      </c>
      <c r="H33" s="23">
        <f t="shared" si="6"/>
        <v>1786255.19</v>
      </c>
      <c r="I33" s="67">
        <v>228241</v>
      </c>
      <c r="J33" s="68">
        <f t="shared" si="24"/>
        <v>2.1867399663805656</v>
      </c>
      <c r="K33" s="23">
        <f>598924.46/1.2</f>
        <v>499103.71666666667</v>
      </c>
      <c r="L33" s="24">
        <f t="shared" si="25"/>
        <v>598924.46</v>
      </c>
      <c r="M33" s="12">
        <f t="shared" si="26"/>
        <v>941375</v>
      </c>
      <c r="N33" s="13">
        <f t="shared" si="27"/>
        <v>1987649.7083333335</v>
      </c>
      <c r="O33" s="13">
        <f t="shared" si="21"/>
        <v>397529.94166666642</v>
      </c>
      <c r="P33" s="96">
        <f t="shared" si="28"/>
        <v>2385179.65</v>
      </c>
    </row>
    <row r="34" spans="1:16" ht="20.25" customHeight="1" outlineLevel="1" x14ac:dyDescent="0.25">
      <c r="A34" s="288"/>
      <c r="B34" s="283"/>
      <c r="C34" s="235" t="str">
        <f t="shared" si="23"/>
        <v>бездоговорное потребление</v>
      </c>
      <c r="D34" s="178">
        <v>166</v>
      </c>
      <c r="E34" s="72"/>
      <c r="F34" s="180">
        <f t="shared" si="5"/>
        <v>2.0873493975903616</v>
      </c>
      <c r="G34" s="24">
        <f>415.8/1.2</f>
        <v>346.5</v>
      </c>
      <c r="H34" s="23">
        <f t="shared" si="6"/>
        <v>415.8</v>
      </c>
      <c r="I34" s="178">
        <v>53</v>
      </c>
      <c r="J34" s="68">
        <f t="shared" si="24"/>
        <v>2.186792452830189</v>
      </c>
      <c r="K34" s="24">
        <f>139.08/1.2</f>
        <v>115.90000000000002</v>
      </c>
      <c r="L34" s="116">
        <f t="shared" si="25"/>
        <v>139.08000000000001</v>
      </c>
      <c r="M34" s="118">
        <f t="shared" si="26"/>
        <v>219</v>
      </c>
      <c r="N34" s="119">
        <f t="shared" si="27"/>
        <v>462.40000000000003</v>
      </c>
      <c r="O34" s="119">
        <f>P34-N34</f>
        <v>92.479999999999961</v>
      </c>
      <c r="P34" s="120">
        <f t="shared" si="28"/>
        <v>554.88</v>
      </c>
    </row>
    <row r="35" spans="1:16" outlineLevel="1" x14ac:dyDescent="0.25">
      <c r="A35" s="286" t="s">
        <v>108</v>
      </c>
      <c r="B35" s="281" t="s">
        <v>143</v>
      </c>
      <c r="C35" s="235" t="str">
        <f t="shared" si="23"/>
        <v>потери</v>
      </c>
      <c r="D35" s="178">
        <v>746291</v>
      </c>
      <c r="E35" s="72"/>
      <c r="F35" s="180">
        <f t="shared" si="5"/>
        <v>2.1610300025950555</v>
      </c>
      <c r="G35" s="24">
        <f>1935308.69/1.2</f>
        <v>1612757.2416666667</v>
      </c>
      <c r="H35" s="23">
        <f t="shared" si="6"/>
        <v>1935308.69</v>
      </c>
      <c r="I35" s="178">
        <v>678511</v>
      </c>
      <c r="J35" s="68">
        <f t="shared" si="24"/>
        <v>2.2604400051485287</v>
      </c>
      <c r="K35" s="24">
        <f>1840480.09/1.2</f>
        <v>1533733.4083333334</v>
      </c>
      <c r="L35" s="116">
        <f t="shared" si="25"/>
        <v>1840480.09</v>
      </c>
      <c r="M35" s="118">
        <f t="shared" si="26"/>
        <v>1424802</v>
      </c>
      <c r="N35" s="239">
        <f t="shared" si="27"/>
        <v>3146490.6500000004</v>
      </c>
      <c r="O35" s="119">
        <f>P35-N35</f>
        <v>629298.12999999989</v>
      </c>
      <c r="P35" s="120">
        <f t="shared" si="28"/>
        <v>3775788.7800000003</v>
      </c>
    </row>
    <row r="36" spans="1:16" ht="21.75" customHeight="1" outlineLevel="1" thickBot="1" x14ac:dyDescent="0.3">
      <c r="A36" s="287"/>
      <c r="B36" s="282"/>
      <c r="C36" s="234" t="str">
        <f t="shared" si="23"/>
        <v>бездоговорное потребление</v>
      </c>
      <c r="D36" s="141">
        <v>1309</v>
      </c>
      <c r="E36" s="209"/>
      <c r="F36" s="143">
        <f t="shared" si="5"/>
        <v>2.1610325948561244</v>
      </c>
      <c r="G36" s="144">
        <f>3394.55/1.2</f>
        <v>2828.791666666667</v>
      </c>
      <c r="H36" s="144">
        <f t="shared" si="6"/>
        <v>3394.55</v>
      </c>
      <c r="I36" s="141">
        <v>1191</v>
      </c>
      <c r="J36" s="143">
        <f t="shared" si="24"/>
        <v>2.2604394066610691</v>
      </c>
      <c r="K36" s="144">
        <f>3230.62/1.2</f>
        <v>2692.1833333333334</v>
      </c>
      <c r="L36" s="116">
        <f t="shared" si="25"/>
        <v>3230.62</v>
      </c>
      <c r="M36" s="118">
        <f t="shared" si="26"/>
        <v>2500</v>
      </c>
      <c r="N36" s="119">
        <f t="shared" si="27"/>
        <v>5520.9750000000004</v>
      </c>
      <c r="O36" s="119">
        <f t="shared" si="21"/>
        <v>1104.1949999999997</v>
      </c>
      <c r="P36" s="120">
        <f t="shared" si="28"/>
        <v>6625.17</v>
      </c>
    </row>
    <row r="37" spans="1:16" s="30" customFormat="1" ht="16.5" outlineLevel="1" thickBot="1" x14ac:dyDescent="0.3">
      <c r="A37" s="130" t="s">
        <v>128</v>
      </c>
      <c r="B37" s="131"/>
      <c r="C37" s="131"/>
      <c r="D37" s="132">
        <f>SUM(D31:D36)</f>
        <v>2062500</v>
      </c>
      <c r="E37" s="151"/>
      <c r="F37" s="152"/>
      <c r="G37" s="133">
        <f>SUM(G31:G36)</f>
        <v>4441450.3083333345</v>
      </c>
      <c r="H37" s="133">
        <f>SUM(H31:H36)</f>
        <v>5329740.37</v>
      </c>
      <c r="I37" s="132">
        <f>SUM(I31:I36)</f>
        <v>1736565</v>
      </c>
      <c r="J37" s="152"/>
      <c r="K37" s="133">
        <f t="shared" ref="K37:P37" si="29">SUM(K31:K36)</f>
        <v>3959391.8583333329</v>
      </c>
      <c r="L37" s="133">
        <f t="shared" si="29"/>
        <v>4751270.2300000004</v>
      </c>
      <c r="M37" s="132">
        <f t="shared" si="29"/>
        <v>3799065</v>
      </c>
      <c r="N37" s="133">
        <f>SUM(N31:N36)</f>
        <v>8400842.1666666679</v>
      </c>
      <c r="O37" s="133">
        <f t="shared" si="29"/>
        <v>1680168.4333333329</v>
      </c>
      <c r="P37" s="138">
        <f t="shared" si="29"/>
        <v>10081010.6</v>
      </c>
    </row>
    <row r="38" spans="1:16" s="21" customFormat="1" x14ac:dyDescent="0.25">
      <c r="A38" s="211" t="s">
        <v>43</v>
      </c>
      <c r="B38" s="212"/>
      <c r="C38" s="212"/>
      <c r="D38" s="213">
        <f>D16+D23+D30+D37</f>
        <v>7339100</v>
      </c>
      <c r="E38" s="214">
        <f>SUM(E12:E12)</f>
        <v>0</v>
      </c>
      <c r="F38" s="214"/>
      <c r="G38" s="215">
        <f>G16+G23+G30+G37</f>
        <v>16386507.600000001</v>
      </c>
      <c r="H38" s="215">
        <f>H16+H23+H30+H37</f>
        <v>19663809.119999997</v>
      </c>
      <c r="I38" s="213">
        <f>I16+I23+I30+I37</f>
        <v>4482536</v>
      </c>
      <c r="J38" s="214"/>
      <c r="K38" s="215">
        <f t="shared" ref="K38:P38" si="30">K16+K23+K30+K37</f>
        <v>10153857.208333334</v>
      </c>
      <c r="L38" s="215">
        <f>L16+L23+L30+L37</f>
        <v>12184628.65</v>
      </c>
      <c r="M38" s="213">
        <f t="shared" si="30"/>
        <v>11821636</v>
      </c>
      <c r="N38" s="215">
        <f t="shared" si="30"/>
        <v>26540364.808333334</v>
      </c>
      <c r="O38" s="215">
        <f t="shared" si="30"/>
        <v>5308072.961666665</v>
      </c>
      <c r="P38" s="216">
        <f t="shared" si="30"/>
        <v>31848437.769999996</v>
      </c>
    </row>
    <row r="39" spans="1:16" s="30" customFormat="1" x14ac:dyDescent="0.25">
      <c r="A39" s="207" t="s">
        <v>109</v>
      </c>
      <c r="B39" s="210"/>
      <c r="C39" s="205" t="str">
        <f>C31</f>
        <v>потери</v>
      </c>
      <c r="D39" s="178">
        <f>D10+D12+D14+D17+D19+D21+D24+D26+D28+D31+D33+D35</f>
        <v>7197475</v>
      </c>
      <c r="E39" s="206"/>
      <c r="F39" s="206"/>
      <c r="G39" s="24">
        <f>G10+G12+G14+G17+G19+G21+G24+G26+G28+G31+G33+G35</f>
        <v>16088173.991666667</v>
      </c>
      <c r="H39" s="24">
        <f>H10+H12+H14+H17+H19+H21+H24+H26+H28+H31+H33+H35</f>
        <v>19305808.790000003</v>
      </c>
      <c r="I39" s="178">
        <f>I10+I12+I14+I17+I19+I21+I24+I26+I28+I31+I33+I35</f>
        <v>4451276</v>
      </c>
      <c r="J39" s="206"/>
      <c r="K39" s="24">
        <f>K10+K12+K14+K17+K19+K21+K24+K26+K28+K31+K33+K35</f>
        <v>10083717.291666666</v>
      </c>
      <c r="L39" s="24">
        <f t="shared" ref="L39:P39" si="31">L10+L12+L14+L17+L19+L21+L24+L26+L28+L31+L33+L35</f>
        <v>12100460.75</v>
      </c>
      <c r="M39" s="24">
        <f>M10+M12+M14+M17+M19+M21+M24+M26+M28+M31+M33+M35</f>
        <v>11648751</v>
      </c>
      <c r="N39" s="24">
        <f t="shared" si="31"/>
        <v>26171891.283333331</v>
      </c>
      <c r="O39" s="24">
        <f t="shared" si="31"/>
        <v>5234378.2566666659</v>
      </c>
      <c r="P39" s="96">
        <f t="shared" si="31"/>
        <v>31406269.540000003</v>
      </c>
    </row>
    <row r="40" spans="1:16" s="30" customFormat="1" ht="16.5" thickBot="1" x14ac:dyDescent="0.3">
      <c r="A40" s="217" t="s">
        <v>110</v>
      </c>
      <c r="B40" s="218"/>
      <c r="C40" s="221" t="str">
        <f>C32</f>
        <v>бездоговорное потребление</v>
      </c>
      <c r="D40" s="219">
        <f>D11+D13+D15+D18+D20+D22+D32+D34+D36+D25+D27+D29</f>
        <v>141625</v>
      </c>
      <c r="E40" s="222"/>
      <c r="F40" s="222"/>
      <c r="G40" s="223">
        <f>G11+G13+G15+G18+G20+G22+G32+G34+G36+G25+G27+G29</f>
        <v>298333.60833333334</v>
      </c>
      <c r="H40" s="220">
        <f>H11+H13+H15+H18+H20+H22+H32+H34+H36+H25+H27+H29</f>
        <v>358000.33</v>
      </c>
      <c r="I40" s="219">
        <f>I11+I13+I15+I18+I20+I22+I32+I34+I36+I25+I27+I29</f>
        <v>31260</v>
      </c>
      <c r="J40" s="222"/>
      <c r="K40" s="223">
        <f>K11+K13+K15+K18+K20+K22+K32+K34+K36+K25+K27+K29</f>
        <v>70139.916666666672</v>
      </c>
      <c r="L40" s="223">
        <f t="shared" ref="L40:P40" si="32">L11+L13+L15+L18+L20+L22+L32+L34+L36+L25+L27+L29</f>
        <v>84167.900000000009</v>
      </c>
      <c r="M40" s="223">
        <f t="shared" si="32"/>
        <v>172885</v>
      </c>
      <c r="N40" s="223">
        <f t="shared" si="32"/>
        <v>368473.52500000002</v>
      </c>
      <c r="O40" s="223">
        <f t="shared" si="32"/>
        <v>73694.705000000045</v>
      </c>
      <c r="P40" s="224">
        <f t="shared" si="32"/>
        <v>442168.23000000004</v>
      </c>
    </row>
    <row r="41" spans="1:16" s="29" customFormat="1" x14ac:dyDescent="0.25">
      <c r="A41" s="37"/>
      <c r="B41" s="33"/>
      <c r="C41" s="33"/>
      <c r="D41" s="258"/>
      <c r="E41" s="258"/>
      <c r="F41" s="258"/>
      <c r="G41" s="31"/>
      <c r="H41" s="28"/>
      <c r="I41" s="39"/>
      <c r="J41" s="40"/>
      <c r="K41" s="32"/>
      <c r="L41" s="32"/>
      <c r="M41" s="32"/>
      <c r="N41" s="32"/>
      <c r="O41" s="32"/>
      <c r="P41" s="32"/>
    </row>
    <row r="42" spans="1:16" s="30" customFormat="1" ht="37.5" customHeight="1" x14ac:dyDescent="0.25">
      <c r="A42" s="293" t="s">
        <v>144</v>
      </c>
      <c r="B42" s="293"/>
      <c r="C42" s="245" t="s">
        <v>145</v>
      </c>
      <c r="D42" s="246">
        <f>H38/D38</f>
        <v>2.6793215952909755</v>
      </c>
      <c r="E42" s="247"/>
      <c r="F42" s="247"/>
      <c r="G42" s="248"/>
      <c r="H42" s="249" t="s">
        <v>146</v>
      </c>
      <c r="I42" s="246">
        <f>L38/I38</f>
        <v>2.718244460278735</v>
      </c>
      <c r="M42" s="240"/>
      <c r="N42" s="42"/>
    </row>
    <row r="43" spans="1:16" s="30" customFormat="1" x14ac:dyDescent="0.25">
      <c r="A43" s="250"/>
      <c r="B43" s="250"/>
      <c r="C43" s="241"/>
      <c r="D43" s="242"/>
      <c r="E43" s="243"/>
      <c r="F43" s="243"/>
      <c r="G43" s="35"/>
      <c r="H43" s="244"/>
      <c r="I43" s="242"/>
      <c r="M43" s="240"/>
      <c r="N43" s="42"/>
    </row>
    <row r="44" spans="1:16" s="30" customFormat="1" x14ac:dyDescent="0.25">
      <c r="G44" s="227"/>
    </row>
    <row r="45" spans="1:16" s="30" customFormat="1" x14ac:dyDescent="0.25">
      <c r="A45" s="30" t="s">
        <v>123</v>
      </c>
      <c r="G45" s="227"/>
    </row>
    <row r="46" spans="1:16" s="30" customFormat="1" x14ac:dyDescent="0.25">
      <c r="A46" s="30" t="s">
        <v>121</v>
      </c>
      <c r="F46" s="30" t="s">
        <v>122</v>
      </c>
      <c r="G46" s="38"/>
    </row>
  </sheetData>
  <mergeCells count="43">
    <mergeCell ref="A1:P1"/>
    <mergeCell ref="A2:P2"/>
    <mergeCell ref="A3:P3"/>
    <mergeCell ref="A5:A7"/>
    <mergeCell ref="B5:B7"/>
    <mergeCell ref="C5:C7"/>
    <mergeCell ref="D5:H5"/>
    <mergeCell ref="I5:L5"/>
    <mergeCell ref="M5:P5"/>
    <mergeCell ref="F6:F7"/>
    <mergeCell ref="A14:A15"/>
    <mergeCell ref="B14:B15"/>
    <mergeCell ref="G6:G7"/>
    <mergeCell ref="H6:H7"/>
    <mergeCell ref="J6:J7"/>
    <mergeCell ref="A9:P9"/>
    <mergeCell ref="A10:A11"/>
    <mergeCell ref="B10:B11"/>
    <mergeCell ref="A12:A13"/>
    <mergeCell ref="B12:B13"/>
    <mergeCell ref="K6:K7"/>
    <mergeCell ref="L6:L7"/>
    <mergeCell ref="P6:P7"/>
    <mergeCell ref="A17:A18"/>
    <mergeCell ref="B17:B18"/>
    <mergeCell ref="A19:A20"/>
    <mergeCell ref="B19:B20"/>
    <mergeCell ref="A21:A22"/>
    <mergeCell ref="B21:B22"/>
    <mergeCell ref="A24:A25"/>
    <mergeCell ref="B24:B25"/>
    <mergeCell ref="A26:A27"/>
    <mergeCell ref="B26:B27"/>
    <mergeCell ref="A28:A29"/>
    <mergeCell ref="B28:B29"/>
    <mergeCell ref="D41:F41"/>
    <mergeCell ref="A42:B42"/>
    <mergeCell ref="A31:A32"/>
    <mergeCell ref="B31:B32"/>
    <mergeCell ref="A33:A34"/>
    <mergeCell ref="B33:B34"/>
    <mergeCell ref="A35:A36"/>
    <mergeCell ref="B35:B36"/>
  </mergeCells>
  <pageMargins left="0.3" right="0.11811023622047245" top="0.52" bottom="0.15748031496062992" header="1.49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потери 2016</vt:lpstr>
      <vt:lpstr>потери 2017</vt:lpstr>
      <vt:lpstr>потери 2018</vt:lpstr>
      <vt:lpstr>потери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hristoeva</dc:creator>
  <cp:lastModifiedBy>Ларионова Е.А.</cp:lastModifiedBy>
  <cp:lastPrinted>2020-03-26T17:40:13Z</cp:lastPrinted>
  <dcterms:created xsi:type="dcterms:W3CDTF">2014-03-12T09:55:04Z</dcterms:created>
  <dcterms:modified xsi:type="dcterms:W3CDTF">2020-03-26T17:51:12Z</dcterms:modified>
</cp:coreProperties>
</file>